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7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codeName="DieseArbeitsmappe"/>
  <mc:AlternateContent xmlns:mc="http://schemas.openxmlformats.org/markup-compatibility/2006">
    <mc:Choice Requires="x15">
      <x15ac:absPath xmlns:x15ac="http://schemas.microsoft.com/office/spreadsheetml/2010/11/ac" url="/Users/helmuthoffrichter/Downloads/"/>
    </mc:Choice>
  </mc:AlternateContent>
  <xr:revisionPtr revIDLastSave="0" documentId="13_ncr:1_{065D2171-A6B1-B04D-A6F5-C40582A76319}" xr6:coauthVersionLast="47" xr6:coauthVersionMax="47" xr10:uidLastSave="{00000000-0000-0000-0000-000000000000}"/>
  <bookViews>
    <workbookView xWindow="42260" yWindow="1100" windowWidth="36500" windowHeight="20200" tabRatio="500" xr2:uid="{00000000-000D-0000-FFFF-FFFF00000000}"/>
  </bookViews>
  <sheets>
    <sheet name="Navigation" sheetId="7" r:id="rId1"/>
    <sheet name="Grafic local" sheetId="2" r:id="rId2"/>
    <sheet name="Grafic global" sheetId="4" r:id="rId3"/>
  </sheets>
  <definedNames>
    <definedName name="_A1">Navigation!$M$19</definedName>
    <definedName name="_A2">Navigation!$M$20</definedName>
    <definedName name="_A3">Navigation!$M$21</definedName>
    <definedName name="_A4">Navigation!$M$22</definedName>
    <definedName name="_B1">Navigation!$M$23</definedName>
    <definedName name="_B2">Navigation!$M$24</definedName>
    <definedName name="_B3">Navigation!$M$25</definedName>
    <definedName name="_B4">Navigation!$M$26</definedName>
    <definedName name="_l">Navigation!$Q$15</definedName>
    <definedName name="_ls">Navigation!$Q$16</definedName>
    <definedName name="_T1">Navigation!$J$11</definedName>
    <definedName name="_T2">Navigation!$J$12</definedName>
    <definedName name="add">'Grafic global'!$K$37</definedName>
    <definedName name="Az">Navigation!$T$15</definedName>
    <definedName name="B">'Grafic local'!$M$8</definedName>
    <definedName name="B_">'Grafic local'!$M$9</definedName>
    <definedName name="BB">Navigation!$F$50</definedName>
    <definedName name="cmg">Navigation!$E$19</definedName>
    <definedName name="d">Navigation!$U$11</definedName>
    <definedName name="d_">Navigation!$U$12</definedName>
    <definedName name="dat">Navigation!$E$10</definedName>
    <definedName name="dat_">Navigation!$E$14</definedName>
    <definedName name="dmg">Navigation!$E$18</definedName>
    <definedName name="F">Navigation!$K$15</definedName>
    <definedName name="G">Navigation!$N$15</definedName>
    <definedName name="grt">Navigation!$T$11</definedName>
    <definedName name="grt_">Navigation!$T$12</definedName>
    <definedName name="Gs">Navigation!$N$16</definedName>
    <definedName name="h">Navigation!$O$7</definedName>
    <definedName name="h_">Navigation!$O$8</definedName>
    <definedName name="hs">Navigation!$U$15</definedName>
    <definedName name="j">Navigation!$P$15</definedName>
    <definedName name="js">Navigation!$P$16</definedName>
    <definedName name="LHA">Navigation!$S$15</definedName>
    <definedName name="LHA_">Navigation!$S$16</definedName>
    <definedName name="ls">Navigation!$R$16</definedName>
    <definedName name="maxn">'Grafic global'!$K$27</definedName>
    <definedName name="maxs">'Grafic global'!$K$30</definedName>
    <definedName name="minn">'Grafic global'!$K$29</definedName>
    <definedName name="mins">'Grafic global'!$K$28</definedName>
    <definedName name="ot">Navigation!$E$11</definedName>
    <definedName name="ot_">Navigation!$E$15</definedName>
    <definedName name="q">Navigation!$J$15</definedName>
    <definedName name="ref">Navigation!$M$27</definedName>
    <definedName name="step">'Grafic global'!$K$38</definedName>
    <definedName name="tau">Navigation!$O$15</definedName>
    <definedName name="taus">Navigation!$O$16</definedName>
    <definedName name="V">Navigation!$L$15</definedName>
    <definedName name="vb">'Grafic local'!$O$5</definedName>
    <definedName name="vl">'Grafic local'!$O$6</definedName>
    <definedName name="W">Navigation!$M$15</definedName>
    <definedName name="Ws">Navigation!$M$16</definedName>
    <definedName name="z_">Navigation!$T$16</definedName>
  </definedName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5" i="7" l="1"/>
  <c r="J12" i="7" l="1"/>
  <c r="J11" i="7"/>
  <c r="M8" i="7"/>
  <c r="M7" i="7"/>
  <c r="D12" i="7" l="1"/>
  <c r="D16" i="7"/>
  <c r="C5" i="7"/>
  <c r="M7" i="2" l="1"/>
  <c r="M6" i="2" l="1"/>
  <c r="M5" i="2"/>
  <c r="O5" i="2" s="1"/>
  <c r="E27" i="7" l="1"/>
  <c r="C27" i="7"/>
  <c r="M22" i="7"/>
  <c r="J32" i="7"/>
  <c r="M21" i="7"/>
  <c r="M20" i="7"/>
  <c r="M19" i="7"/>
  <c r="I20" i="7"/>
  <c r="I21" i="7" s="1"/>
  <c r="J8" i="7"/>
  <c r="K8" i="7" s="1"/>
  <c r="J7" i="7"/>
  <c r="K7" i="7" l="1"/>
  <c r="K11" i="7"/>
  <c r="L11" i="7"/>
  <c r="Q11" i="7"/>
  <c r="N11" i="7"/>
  <c r="I22" i="7"/>
  <c r="I23" i="7" s="1"/>
  <c r="I24" i="7" s="1"/>
  <c r="I25" i="7" s="1"/>
  <c r="I26" i="7" s="1"/>
  <c r="I27" i="7" s="1"/>
  <c r="I28" i="7" s="1"/>
  <c r="I29" i="7" s="1"/>
  <c r="I30" i="7" s="1"/>
  <c r="L8" i="7" l="1"/>
  <c r="N8" i="7" s="1"/>
  <c r="L7" i="7"/>
  <c r="M11" i="7"/>
  <c r="O11" i="7" s="1"/>
  <c r="P11" i="7" s="1"/>
  <c r="U11" i="7" s="1"/>
  <c r="N7" i="7" l="1"/>
  <c r="C32" i="7" s="1"/>
  <c r="D32" i="7" s="1"/>
  <c r="M192" i="4"/>
  <c r="E32" i="7"/>
  <c r="F32" i="7" s="1"/>
  <c r="C29" i="7"/>
  <c r="D29" i="7" s="1"/>
  <c r="O8" i="7"/>
  <c r="R11" i="7"/>
  <c r="S11" i="7" s="1"/>
  <c r="T11" i="7" s="1"/>
  <c r="O7" i="7" l="1"/>
  <c r="Y192" i="4"/>
  <c r="C28" i="7"/>
  <c r="D28" i="7" s="1"/>
  <c r="M4" i="2"/>
  <c r="M3" i="2"/>
  <c r="K12" i="7" l="1"/>
  <c r="L12" i="7"/>
  <c r="Q12" i="7"/>
  <c r="N12" i="7"/>
  <c r="M12" i="7" l="1"/>
  <c r="O12" i="7" s="1"/>
  <c r="P12" i="7" l="1"/>
  <c r="U12" i="7" s="1"/>
  <c r="R12" i="7" l="1"/>
  <c r="S12" i="7" s="1"/>
  <c r="T12" i="7" s="1"/>
  <c r="M193" i="4"/>
  <c r="E29" i="7"/>
  <c r="F29" i="7" s="1"/>
  <c r="L189" i="4"/>
  <c r="L6" i="4"/>
  <c r="J15" i="7" l="1"/>
  <c r="E28" i="7"/>
  <c r="L190" i="4"/>
  <c r="K28" i="4" s="1"/>
  <c r="L5" i="4"/>
  <c r="K15" i="7" l="1"/>
  <c r="L15" i="7" s="1"/>
  <c r="Y193" i="4"/>
  <c r="F28" i="7"/>
  <c r="K30" i="4"/>
  <c r="K32" i="4" s="1"/>
  <c r="K27" i="4"/>
  <c r="K33" i="4" s="1"/>
  <c r="K29" i="4"/>
  <c r="M15" i="7" l="1"/>
  <c r="K31" i="4"/>
  <c r="K34" i="4" s="1"/>
  <c r="K36" i="4" s="1"/>
  <c r="K37" i="4" s="1"/>
  <c r="N15" i="7" l="1"/>
  <c r="O15" i="7" s="1"/>
  <c r="K38" i="4"/>
  <c r="N4" i="4" s="1"/>
  <c r="N5" i="4" s="1"/>
  <c r="P15" i="7" l="1"/>
  <c r="N6" i="4"/>
  <c r="M5" i="4"/>
  <c r="O5" i="4" s="1"/>
  <c r="Q15" i="7" l="1"/>
  <c r="S15" i="7" s="1"/>
  <c r="P5" i="4"/>
  <c r="T5" i="4" s="1"/>
  <c r="R5" i="4"/>
  <c r="V5" i="4" s="1"/>
  <c r="S5" i="4"/>
  <c r="W5" i="4" s="1"/>
  <c r="Q5" i="4"/>
  <c r="U5" i="4" s="1"/>
  <c r="M6" i="4"/>
  <c r="O6" i="4" s="1"/>
  <c r="N7" i="4"/>
  <c r="M7" i="4" l="1"/>
  <c r="O7" i="4" s="1"/>
  <c r="N8" i="4"/>
  <c r="Q6" i="4"/>
  <c r="U6" i="4" s="1"/>
  <c r="P6" i="4"/>
  <c r="T6" i="4" s="1"/>
  <c r="R6" i="4"/>
  <c r="V6" i="4" s="1"/>
  <c r="S6" i="4"/>
  <c r="W6" i="4" s="1"/>
  <c r="M8" i="2" l="1"/>
  <c r="D23" i="7"/>
  <c r="T15" i="7"/>
  <c r="C30" i="7"/>
  <c r="D30" i="7" s="1"/>
  <c r="M8" i="4"/>
  <c r="O8" i="4" s="1"/>
  <c r="N9" i="4"/>
  <c r="Q7" i="4"/>
  <c r="U7" i="4" s="1"/>
  <c r="S7" i="4"/>
  <c r="W7" i="4" s="1"/>
  <c r="P7" i="4"/>
  <c r="T7" i="4" s="1"/>
  <c r="R7" i="4"/>
  <c r="V7" i="4" s="1"/>
  <c r="C31" i="7" l="1"/>
  <c r="D31" i="7" s="1"/>
  <c r="U15" i="7"/>
  <c r="M16" i="7" s="1"/>
  <c r="M9" i="4"/>
  <c r="O9" i="4" s="1"/>
  <c r="N10" i="4"/>
  <c r="P8" i="4"/>
  <c r="T8" i="4" s="1"/>
  <c r="R8" i="4"/>
  <c r="V8" i="4" s="1"/>
  <c r="S8" i="4"/>
  <c r="W8" i="4" s="1"/>
  <c r="Q8" i="4"/>
  <c r="U8" i="4" s="1"/>
  <c r="N16" i="7" l="1"/>
  <c r="O16" i="7" s="1"/>
  <c r="M10" i="4"/>
  <c r="O10" i="4" s="1"/>
  <c r="N11" i="4"/>
  <c r="Q9" i="4"/>
  <c r="U9" i="4" s="1"/>
  <c r="R9" i="4"/>
  <c r="V9" i="4" s="1"/>
  <c r="P9" i="4"/>
  <c r="T9" i="4" s="1"/>
  <c r="S9" i="4"/>
  <c r="W9" i="4" s="1"/>
  <c r="P16" i="7" l="1"/>
  <c r="M11" i="4"/>
  <c r="O11" i="4" s="1"/>
  <c r="N12" i="4"/>
  <c r="Q10" i="4"/>
  <c r="U10" i="4" s="1"/>
  <c r="P10" i="4"/>
  <c r="T10" i="4" s="1"/>
  <c r="S10" i="4"/>
  <c r="W10" i="4" s="1"/>
  <c r="R10" i="4"/>
  <c r="V10" i="4" s="1"/>
  <c r="M12" i="4" l="1"/>
  <c r="O12" i="4" s="1"/>
  <c r="N13" i="4"/>
  <c r="Q11" i="4"/>
  <c r="U11" i="4" s="1"/>
  <c r="R11" i="4"/>
  <c r="V11" i="4" s="1"/>
  <c r="S11" i="4"/>
  <c r="W11" i="4" s="1"/>
  <c r="P11" i="4"/>
  <c r="T11" i="4" s="1"/>
  <c r="N14" i="4" l="1"/>
  <c r="M13" i="4"/>
  <c r="O13" i="4" s="1"/>
  <c r="S12" i="4"/>
  <c r="W12" i="4" s="1"/>
  <c r="Q12" i="4"/>
  <c r="U12" i="4" s="1"/>
  <c r="R12" i="4"/>
  <c r="V12" i="4" s="1"/>
  <c r="P12" i="4"/>
  <c r="T12" i="4" s="1"/>
  <c r="Q13" i="4" l="1"/>
  <c r="U13" i="4" s="1"/>
  <c r="P13" i="4"/>
  <c r="T13" i="4" s="1"/>
  <c r="S13" i="4"/>
  <c r="W13" i="4" s="1"/>
  <c r="R13" i="4"/>
  <c r="V13" i="4" s="1"/>
  <c r="M14" i="4"/>
  <c r="O14" i="4" s="1"/>
  <c r="N15" i="4"/>
  <c r="N16" i="4" l="1"/>
  <c r="M15" i="4"/>
  <c r="O15" i="4" s="1"/>
  <c r="R14" i="4"/>
  <c r="V14" i="4" s="1"/>
  <c r="Q14" i="4"/>
  <c r="U14" i="4" s="1"/>
  <c r="S14" i="4"/>
  <c r="W14" i="4" s="1"/>
  <c r="P14" i="4"/>
  <c r="T14" i="4" s="1"/>
  <c r="R15" i="4" l="1"/>
  <c r="V15" i="4" s="1"/>
  <c r="P15" i="4"/>
  <c r="T15" i="4" s="1"/>
  <c r="Q15" i="4"/>
  <c r="U15" i="4" s="1"/>
  <c r="S15" i="4"/>
  <c r="W15" i="4" s="1"/>
  <c r="M16" i="4"/>
  <c r="O16" i="4" s="1"/>
  <c r="N17" i="4"/>
  <c r="Q16" i="4" l="1"/>
  <c r="U16" i="4" s="1"/>
  <c r="P16" i="4"/>
  <c r="T16" i="4" s="1"/>
  <c r="S16" i="4"/>
  <c r="W16" i="4" s="1"/>
  <c r="R16" i="4"/>
  <c r="V16" i="4" s="1"/>
  <c r="M17" i="4"/>
  <c r="O17" i="4" s="1"/>
  <c r="N18" i="4"/>
  <c r="M18" i="4" l="1"/>
  <c r="O18" i="4" s="1"/>
  <c r="N19" i="4"/>
  <c r="P17" i="4"/>
  <c r="T17" i="4" s="1"/>
  <c r="Q17" i="4"/>
  <c r="U17" i="4" s="1"/>
  <c r="R17" i="4"/>
  <c r="V17" i="4" s="1"/>
  <c r="S17" i="4"/>
  <c r="W17" i="4" s="1"/>
  <c r="M19" i="4" l="1"/>
  <c r="O19" i="4" s="1"/>
  <c r="N20" i="4"/>
  <c r="Q18" i="4"/>
  <c r="U18" i="4" s="1"/>
  <c r="P18" i="4"/>
  <c r="T18" i="4" s="1"/>
  <c r="S18" i="4"/>
  <c r="W18" i="4" s="1"/>
  <c r="R18" i="4"/>
  <c r="V18" i="4" s="1"/>
  <c r="N21" i="4" l="1"/>
  <c r="M20" i="4"/>
  <c r="O20" i="4" s="1"/>
  <c r="P19" i="4"/>
  <c r="T19" i="4" s="1"/>
  <c r="Q19" i="4"/>
  <c r="U19" i="4" s="1"/>
  <c r="R19" i="4"/>
  <c r="V19" i="4" s="1"/>
  <c r="S19" i="4"/>
  <c r="W19" i="4" s="1"/>
  <c r="M21" i="4" l="1"/>
  <c r="O21" i="4" s="1"/>
  <c r="N22" i="4"/>
  <c r="Q20" i="4"/>
  <c r="U20" i="4" s="1"/>
  <c r="R20" i="4"/>
  <c r="V20" i="4" s="1"/>
  <c r="S20" i="4"/>
  <c r="W20" i="4" s="1"/>
  <c r="P20" i="4"/>
  <c r="T20" i="4" s="1"/>
  <c r="N23" i="4" l="1"/>
  <c r="M22" i="4"/>
  <c r="O22" i="4" s="1"/>
  <c r="R21" i="4"/>
  <c r="V21" i="4" s="1"/>
  <c r="Q21" i="4"/>
  <c r="U21" i="4" s="1"/>
  <c r="S21" i="4"/>
  <c r="W21" i="4" s="1"/>
  <c r="P21" i="4"/>
  <c r="T21" i="4" s="1"/>
  <c r="Q22" i="4" l="1"/>
  <c r="U22" i="4" s="1"/>
  <c r="R22" i="4"/>
  <c r="V22" i="4" s="1"/>
  <c r="P22" i="4"/>
  <c r="T22" i="4" s="1"/>
  <c r="S22" i="4"/>
  <c r="W22" i="4" s="1"/>
  <c r="N24" i="4"/>
  <c r="M23" i="4"/>
  <c r="O23" i="4" s="1"/>
  <c r="N25" i="4" l="1"/>
  <c r="M24" i="4"/>
  <c r="O24" i="4" s="1"/>
  <c r="P23" i="4"/>
  <c r="T23" i="4" s="1"/>
  <c r="R23" i="4"/>
  <c r="V23" i="4" s="1"/>
  <c r="Q23" i="4"/>
  <c r="U23" i="4" s="1"/>
  <c r="S23" i="4"/>
  <c r="W23" i="4" s="1"/>
  <c r="P24" i="4" l="1"/>
  <c r="T24" i="4" s="1"/>
  <c r="R24" i="4"/>
  <c r="V24" i="4" s="1"/>
  <c r="S24" i="4"/>
  <c r="W24" i="4" s="1"/>
  <c r="Q24" i="4"/>
  <c r="U24" i="4" s="1"/>
  <c r="M25" i="4"/>
  <c r="O25" i="4" s="1"/>
  <c r="N26" i="4"/>
  <c r="M26" i="4" l="1"/>
  <c r="O26" i="4" s="1"/>
  <c r="N27" i="4"/>
  <c r="S25" i="4"/>
  <c r="W25" i="4" s="1"/>
  <c r="R25" i="4"/>
  <c r="V25" i="4" s="1"/>
  <c r="Q25" i="4"/>
  <c r="U25" i="4" s="1"/>
  <c r="P25" i="4"/>
  <c r="T25" i="4" s="1"/>
  <c r="M27" i="4" l="1"/>
  <c r="O27" i="4" s="1"/>
  <c r="N28" i="4"/>
  <c r="P26" i="4"/>
  <c r="T26" i="4" s="1"/>
  <c r="Q26" i="4"/>
  <c r="U26" i="4" s="1"/>
  <c r="S26" i="4"/>
  <c r="W26" i="4" s="1"/>
  <c r="R26" i="4"/>
  <c r="V26" i="4" s="1"/>
  <c r="M28" i="4" l="1"/>
  <c r="O28" i="4" s="1"/>
  <c r="N29" i="4"/>
  <c r="P27" i="4"/>
  <c r="T27" i="4" s="1"/>
  <c r="Q27" i="4"/>
  <c r="U27" i="4" s="1"/>
  <c r="R27" i="4"/>
  <c r="V27" i="4" s="1"/>
  <c r="S27" i="4"/>
  <c r="W27" i="4" s="1"/>
  <c r="N30" i="4" l="1"/>
  <c r="M29" i="4"/>
  <c r="O29" i="4" s="1"/>
  <c r="P28" i="4"/>
  <c r="T28" i="4" s="1"/>
  <c r="Q28" i="4"/>
  <c r="U28" i="4" s="1"/>
  <c r="R28" i="4"/>
  <c r="V28" i="4" s="1"/>
  <c r="S28" i="4"/>
  <c r="W28" i="4" s="1"/>
  <c r="P29" i="4" l="1"/>
  <c r="T29" i="4" s="1"/>
  <c r="S29" i="4"/>
  <c r="W29" i="4" s="1"/>
  <c r="R29" i="4"/>
  <c r="V29" i="4" s="1"/>
  <c r="Q29" i="4"/>
  <c r="U29" i="4" s="1"/>
  <c r="N31" i="4"/>
  <c r="M30" i="4"/>
  <c r="O30" i="4" s="1"/>
  <c r="M31" i="4" l="1"/>
  <c r="O31" i="4" s="1"/>
  <c r="N32" i="4"/>
  <c r="P30" i="4"/>
  <c r="T30" i="4" s="1"/>
  <c r="Q30" i="4"/>
  <c r="U30" i="4" s="1"/>
  <c r="R30" i="4"/>
  <c r="V30" i="4" s="1"/>
  <c r="S30" i="4"/>
  <c r="W30" i="4" s="1"/>
  <c r="M32" i="4" l="1"/>
  <c r="O32" i="4" s="1"/>
  <c r="N33" i="4"/>
  <c r="R31" i="4"/>
  <c r="V31" i="4" s="1"/>
  <c r="P31" i="4"/>
  <c r="T31" i="4" s="1"/>
  <c r="S31" i="4"/>
  <c r="W31" i="4" s="1"/>
  <c r="Q31" i="4"/>
  <c r="U31" i="4" s="1"/>
  <c r="M33" i="4" l="1"/>
  <c r="O33" i="4" s="1"/>
  <c r="N34" i="4"/>
  <c r="R32" i="4"/>
  <c r="V32" i="4" s="1"/>
  <c r="P32" i="4"/>
  <c r="T32" i="4" s="1"/>
  <c r="Q32" i="4"/>
  <c r="U32" i="4" s="1"/>
  <c r="S32" i="4"/>
  <c r="W32" i="4" s="1"/>
  <c r="S33" i="4" l="1"/>
  <c r="W33" i="4" s="1"/>
  <c r="P33" i="4"/>
  <c r="T33" i="4" s="1"/>
  <c r="R33" i="4"/>
  <c r="V33" i="4" s="1"/>
  <c r="Q33" i="4"/>
  <c r="U33" i="4" s="1"/>
  <c r="M34" i="4"/>
  <c r="O34" i="4" s="1"/>
  <c r="N35" i="4"/>
  <c r="M35" i="4" l="1"/>
  <c r="O35" i="4" s="1"/>
  <c r="N36" i="4"/>
  <c r="S34" i="4"/>
  <c r="W34" i="4" s="1"/>
  <c r="Q34" i="4"/>
  <c r="U34" i="4" s="1"/>
  <c r="P34" i="4"/>
  <c r="T34" i="4" s="1"/>
  <c r="R34" i="4"/>
  <c r="V34" i="4" s="1"/>
  <c r="N37" i="4" l="1"/>
  <c r="M36" i="4"/>
  <c r="O36" i="4" s="1"/>
  <c r="Q35" i="4"/>
  <c r="U35" i="4" s="1"/>
  <c r="S35" i="4"/>
  <c r="W35" i="4" s="1"/>
  <c r="P35" i="4"/>
  <c r="T35" i="4" s="1"/>
  <c r="R35" i="4"/>
  <c r="V35" i="4" s="1"/>
  <c r="P36" i="4" l="1"/>
  <c r="T36" i="4" s="1"/>
  <c r="Q36" i="4"/>
  <c r="U36" i="4" s="1"/>
  <c r="R36" i="4"/>
  <c r="V36" i="4" s="1"/>
  <c r="S36" i="4"/>
  <c r="W36" i="4" s="1"/>
  <c r="N38" i="4"/>
  <c r="M37" i="4"/>
  <c r="O37" i="4" s="1"/>
  <c r="R37" i="4" l="1"/>
  <c r="V37" i="4" s="1"/>
  <c r="Q37" i="4"/>
  <c r="U37" i="4" s="1"/>
  <c r="P37" i="4"/>
  <c r="T37" i="4" s="1"/>
  <c r="S37" i="4"/>
  <c r="W37" i="4" s="1"/>
  <c r="M38" i="4"/>
  <c r="O38" i="4" s="1"/>
  <c r="N39" i="4"/>
  <c r="R38" i="4" l="1"/>
  <c r="V38" i="4" s="1"/>
  <c r="P38" i="4"/>
  <c r="T38" i="4" s="1"/>
  <c r="Q38" i="4"/>
  <c r="U38" i="4" s="1"/>
  <c r="S38" i="4"/>
  <c r="W38" i="4" s="1"/>
  <c r="N40" i="4"/>
  <c r="M39" i="4"/>
  <c r="O39" i="4" s="1"/>
  <c r="P39" i="4" l="1"/>
  <c r="T39" i="4" s="1"/>
  <c r="R39" i="4"/>
  <c r="V39" i="4" s="1"/>
  <c r="Q39" i="4"/>
  <c r="U39" i="4" s="1"/>
  <c r="S39" i="4"/>
  <c r="W39" i="4" s="1"/>
  <c r="M40" i="4"/>
  <c r="O40" i="4" s="1"/>
  <c r="N41" i="4"/>
  <c r="M41" i="4" l="1"/>
  <c r="O41" i="4" s="1"/>
  <c r="N42" i="4"/>
  <c r="S40" i="4"/>
  <c r="W40" i="4" s="1"/>
  <c r="Q40" i="4"/>
  <c r="U40" i="4" s="1"/>
  <c r="P40" i="4"/>
  <c r="T40" i="4" s="1"/>
  <c r="R40" i="4"/>
  <c r="V40" i="4" s="1"/>
  <c r="M42" i="4" l="1"/>
  <c r="O42" i="4" s="1"/>
  <c r="N43" i="4"/>
  <c r="P41" i="4"/>
  <c r="T41" i="4" s="1"/>
  <c r="S41" i="4"/>
  <c r="W41" i="4" s="1"/>
  <c r="Q41" i="4"/>
  <c r="U41" i="4" s="1"/>
  <c r="R41" i="4"/>
  <c r="V41" i="4" s="1"/>
  <c r="M43" i="4" l="1"/>
  <c r="O43" i="4" s="1"/>
  <c r="N44" i="4"/>
  <c r="R42" i="4"/>
  <c r="V42" i="4" s="1"/>
  <c r="S42" i="4"/>
  <c r="W42" i="4" s="1"/>
  <c r="P42" i="4"/>
  <c r="T42" i="4" s="1"/>
  <c r="Q42" i="4"/>
  <c r="U42" i="4" s="1"/>
  <c r="M44" i="4" l="1"/>
  <c r="O44" i="4" s="1"/>
  <c r="N45" i="4"/>
  <c r="P43" i="4"/>
  <c r="T43" i="4" s="1"/>
  <c r="Q43" i="4"/>
  <c r="U43" i="4" s="1"/>
  <c r="R43" i="4"/>
  <c r="V43" i="4" s="1"/>
  <c r="S43" i="4"/>
  <c r="W43" i="4" s="1"/>
  <c r="N46" i="4" l="1"/>
  <c r="M45" i="4"/>
  <c r="O45" i="4" s="1"/>
  <c r="P44" i="4"/>
  <c r="T44" i="4" s="1"/>
  <c r="S44" i="4"/>
  <c r="W44" i="4" s="1"/>
  <c r="Q44" i="4"/>
  <c r="U44" i="4" s="1"/>
  <c r="R44" i="4"/>
  <c r="V44" i="4" s="1"/>
  <c r="R45" i="4" l="1"/>
  <c r="V45" i="4" s="1"/>
  <c r="P45" i="4"/>
  <c r="T45" i="4" s="1"/>
  <c r="Q45" i="4"/>
  <c r="U45" i="4" s="1"/>
  <c r="S45" i="4"/>
  <c r="W45" i="4" s="1"/>
  <c r="M46" i="4"/>
  <c r="O46" i="4" s="1"/>
  <c r="N47" i="4"/>
  <c r="M47" i="4" l="1"/>
  <c r="O47" i="4" s="1"/>
  <c r="N48" i="4"/>
  <c r="S46" i="4"/>
  <c r="W46" i="4" s="1"/>
  <c r="Q46" i="4"/>
  <c r="U46" i="4" s="1"/>
  <c r="R46" i="4"/>
  <c r="V46" i="4" s="1"/>
  <c r="P46" i="4"/>
  <c r="T46" i="4" s="1"/>
  <c r="M48" i="4" l="1"/>
  <c r="O48" i="4" s="1"/>
  <c r="N49" i="4"/>
  <c r="Q47" i="4"/>
  <c r="U47" i="4" s="1"/>
  <c r="P47" i="4"/>
  <c r="T47" i="4" s="1"/>
  <c r="S47" i="4"/>
  <c r="W47" i="4" s="1"/>
  <c r="R47" i="4"/>
  <c r="V47" i="4" s="1"/>
  <c r="M49" i="4" l="1"/>
  <c r="O49" i="4" s="1"/>
  <c r="N50" i="4"/>
  <c r="R48" i="4"/>
  <c r="V48" i="4" s="1"/>
  <c r="P48" i="4"/>
  <c r="T48" i="4" s="1"/>
  <c r="Q48" i="4"/>
  <c r="U48" i="4" s="1"/>
  <c r="S48" i="4"/>
  <c r="W48" i="4" s="1"/>
  <c r="M50" i="4" l="1"/>
  <c r="O50" i="4" s="1"/>
  <c r="N51" i="4"/>
  <c r="S49" i="4"/>
  <c r="W49" i="4" s="1"/>
  <c r="R49" i="4"/>
  <c r="V49" i="4" s="1"/>
  <c r="Q49" i="4"/>
  <c r="U49" i="4" s="1"/>
  <c r="P49" i="4"/>
  <c r="T49" i="4" s="1"/>
  <c r="M51" i="4" l="1"/>
  <c r="O51" i="4" s="1"/>
  <c r="N52" i="4"/>
  <c r="Q50" i="4"/>
  <c r="U50" i="4" s="1"/>
  <c r="P50" i="4"/>
  <c r="T50" i="4" s="1"/>
  <c r="S50" i="4"/>
  <c r="W50" i="4" s="1"/>
  <c r="R50" i="4"/>
  <c r="V50" i="4" s="1"/>
  <c r="N53" i="4" l="1"/>
  <c r="M52" i="4"/>
  <c r="O52" i="4" s="1"/>
  <c r="Q51" i="4"/>
  <c r="U51" i="4" s="1"/>
  <c r="P51" i="4"/>
  <c r="T51" i="4" s="1"/>
  <c r="R51" i="4"/>
  <c r="V51" i="4" s="1"/>
  <c r="S51" i="4"/>
  <c r="W51" i="4" s="1"/>
  <c r="P52" i="4" l="1"/>
  <c r="T52" i="4" s="1"/>
  <c r="Q52" i="4"/>
  <c r="U52" i="4" s="1"/>
  <c r="S52" i="4"/>
  <c r="W52" i="4" s="1"/>
  <c r="R52" i="4"/>
  <c r="V52" i="4" s="1"/>
  <c r="N54" i="4"/>
  <c r="M53" i="4"/>
  <c r="O53" i="4" s="1"/>
  <c r="Q53" i="4" l="1"/>
  <c r="U53" i="4" s="1"/>
  <c r="S53" i="4"/>
  <c r="W53" i="4" s="1"/>
  <c r="R53" i="4"/>
  <c r="V53" i="4" s="1"/>
  <c r="P53" i="4"/>
  <c r="T53" i="4" s="1"/>
  <c r="M54" i="4"/>
  <c r="O54" i="4" s="1"/>
  <c r="N55" i="4"/>
  <c r="N56" i="4" l="1"/>
  <c r="M55" i="4"/>
  <c r="O55" i="4" s="1"/>
  <c r="P54" i="4"/>
  <c r="T54" i="4" s="1"/>
  <c r="Q54" i="4"/>
  <c r="U54" i="4" s="1"/>
  <c r="S54" i="4"/>
  <c r="W54" i="4" s="1"/>
  <c r="R54" i="4"/>
  <c r="V54" i="4" s="1"/>
  <c r="Q55" i="4" l="1"/>
  <c r="U55" i="4" s="1"/>
  <c r="P55" i="4"/>
  <c r="T55" i="4" s="1"/>
  <c r="R55" i="4"/>
  <c r="V55" i="4" s="1"/>
  <c r="S55" i="4"/>
  <c r="W55" i="4" s="1"/>
  <c r="M56" i="4"/>
  <c r="O56" i="4" s="1"/>
  <c r="N57" i="4"/>
  <c r="M57" i="4" l="1"/>
  <c r="O57" i="4" s="1"/>
  <c r="N58" i="4"/>
  <c r="S56" i="4"/>
  <c r="W56" i="4" s="1"/>
  <c r="R56" i="4"/>
  <c r="V56" i="4" s="1"/>
  <c r="P56" i="4"/>
  <c r="T56" i="4" s="1"/>
  <c r="Q56" i="4"/>
  <c r="U56" i="4" s="1"/>
  <c r="M58" i="4" l="1"/>
  <c r="O58" i="4" s="1"/>
  <c r="N59" i="4"/>
  <c r="Q57" i="4"/>
  <c r="U57" i="4" s="1"/>
  <c r="P57" i="4"/>
  <c r="T57" i="4" s="1"/>
  <c r="R57" i="4"/>
  <c r="V57" i="4" s="1"/>
  <c r="S57" i="4"/>
  <c r="W57" i="4" s="1"/>
  <c r="N60" i="4" l="1"/>
  <c r="M59" i="4"/>
  <c r="O59" i="4" s="1"/>
  <c r="R58" i="4"/>
  <c r="V58" i="4" s="1"/>
  <c r="Q58" i="4"/>
  <c r="U58" i="4" s="1"/>
  <c r="S58" i="4"/>
  <c r="W58" i="4" s="1"/>
  <c r="P58" i="4"/>
  <c r="T58" i="4" s="1"/>
  <c r="P59" i="4" l="1"/>
  <c r="T59" i="4" s="1"/>
  <c r="Q59" i="4"/>
  <c r="U59" i="4" s="1"/>
  <c r="S59" i="4"/>
  <c r="W59" i="4" s="1"/>
  <c r="R59" i="4"/>
  <c r="V59" i="4" s="1"/>
  <c r="M60" i="4"/>
  <c r="O60" i="4" s="1"/>
  <c r="N61" i="4"/>
  <c r="N62" i="4" l="1"/>
  <c r="M61" i="4"/>
  <c r="O61" i="4" s="1"/>
  <c r="Q60" i="4"/>
  <c r="U60" i="4" s="1"/>
  <c r="P60" i="4"/>
  <c r="T60" i="4" s="1"/>
  <c r="S60" i="4"/>
  <c r="W60" i="4" s="1"/>
  <c r="R60" i="4"/>
  <c r="V60" i="4" s="1"/>
  <c r="Q61" i="4" l="1"/>
  <c r="U61" i="4" s="1"/>
  <c r="S61" i="4"/>
  <c r="W61" i="4" s="1"/>
  <c r="P61" i="4"/>
  <c r="T61" i="4" s="1"/>
  <c r="R61" i="4"/>
  <c r="V61" i="4" s="1"/>
  <c r="M62" i="4"/>
  <c r="O62" i="4" s="1"/>
  <c r="N63" i="4"/>
  <c r="P62" i="4" l="1"/>
  <c r="T62" i="4" s="1"/>
  <c r="Q62" i="4"/>
  <c r="U62" i="4" s="1"/>
  <c r="R62" i="4"/>
  <c r="V62" i="4" s="1"/>
  <c r="S62" i="4"/>
  <c r="W62" i="4" s="1"/>
  <c r="M63" i="4"/>
  <c r="O63" i="4" s="1"/>
  <c r="N64" i="4"/>
  <c r="M64" i="4" l="1"/>
  <c r="O64" i="4" s="1"/>
  <c r="N65" i="4"/>
  <c r="P63" i="4"/>
  <c r="T63" i="4" s="1"/>
  <c r="Q63" i="4"/>
  <c r="U63" i="4" s="1"/>
  <c r="S63" i="4"/>
  <c r="W63" i="4" s="1"/>
  <c r="R63" i="4"/>
  <c r="V63" i="4" s="1"/>
  <c r="M65" i="4" l="1"/>
  <c r="O65" i="4" s="1"/>
  <c r="N66" i="4"/>
  <c r="R64" i="4"/>
  <c r="V64" i="4" s="1"/>
  <c r="Q64" i="4"/>
  <c r="U64" i="4" s="1"/>
  <c r="S64" i="4"/>
  <c r="W64" i="4" s="1"/>
  <c r="P64" i="4"/>
  <c r="T64" i="4" s="1"/>
  <c r="M66" i="4" l="1"/>
  <c r="O66" i="4" s="1"/>
  <c r="N67" i="4"/>
  <c r="Q65" i="4"/>
  <c r="U65" i="4" s="1"/>
  <c r="S65" i="4"/>
  <c r="W65" i="4" s="1"/>
  <c r="P65" i="4"/>
  <c r="T65" i="4" s="1"/>
  <c r="R65" i="4"/>
  <c r="V65" i="4" s="1"/>
  <c r="M67" i="4" l="1"/>
  <c r="O67" i="4" s="1"/>
  <c r="N68" i="4"/>
  <c r="P66" i="4"/>
  <c r="T66" i="4" s="1"/>
  <c r="Q66" i="4"/>
  <c r="U66" i="4" s="1"/>
  <c r="R66" i="4"/>
  <c r="V66" i="4" s="1"/>
  <c r="S66" i="4"/>
  <c r="W66" i="4" s="1"/>
  <c r="M68" i="4" l="1"/>
  <c r="O68" i="4" s="1"/>
  <c r="N69" i="4"/>
  <c r="Q67" i="4"/>
  <c r="U67" i="4" s="1"/>
  <c r="P67" i="4"/>
  <c r="T67" i="4" s="1"/>
  <c r="R67" i="4"/>
  <c r="V67" i="4" s="1"/>
  <c r="S67" i="4"/>
  <c r="W67" i="4" s="1"/>
  <c r="N70" i="4" l="1"/>
  <c r="M69" i="4"/>
  <c r="O69" i="4" s="1"/>
  <c r="Q68" i="4"/>
  <c r="U68" i="4" s="1"/>
  <c r="P68" i="4"/>
  <c r="T68" i="4" s="1"/>
  <c r="R68" i="4"/>
  <c r="V68" i="4" s="1"/>
  <c r="S68" i="4"/>
  <c r="W68" i="4" s="1"/>
  <c r="S69" i="4" l="1"/>
  <c r="W69" i="4" s="1"/>
  <c r="R69" i="4"/>
  <c r="V69" i="4" s="1"/>
  <c r="Q69" i="4"/>
  <c r="U69" i="4" s="1"/>
  <c r="P69" i="4"/>
  <c r="T69" i="4" s="1"/>
  <c r="M70" i="4"/>
  <c r="O70" i="4" s="1"/>
  <c r="N71" i="4"/>
  <c r="M71" i="4" l="1"/>
  <c r="O71" i="4" s="1"/>
  <c r="N72" i="4"/>
  <c r="R70" i="4"/>
  <c r="V70" i="4" s="1"/>
  <c r="P70" i="4"/>
  <c r="T70" i="4" s="1"/>
  <c r="S70" i="4"/>
  <c r="W70" i="4" s="1"/>
  <c r="Q70" i="4"/>
  <c r="U70" i="4" s="1"/>
  <c r="M72" i="4" l="1"/>
  <c r="O72" i="4" s="1"/>
  <c r="N73" i="4"/>
  <c r="Q71" i="4"/>
  <c r="U71" i="4" s="1"/>
  <c r="S71" i="4"/>
  <c r="W71" i="4" s="1"/>
  <c r="R71" i="4"/>
  <c r="V71" i="4" s="1"/>
  <c r="P71" i="4"/>
  <c r="T71" i="4" s="1"/>
  <c r="N74" i="4" l="1"/>
  <c r="M73" i="4"/>
  <c r="O73" i="4" s="1"/>
  <c r="R72" i="4"/>
  <c r="V72" i="4" s="1"/>
  <c r="Q72" i="4"/>
  <c r="U72" i="4" s="1"/>
  <c r="S72" i="4"/>
  <c r="W72" i="4" s="1"/>
  <c r="P72" i="4"/>
  <c r="T72" i="4" s="1"/>
  <c r="Q73" i="4" l="1"/>
  <c r="U73" i="4" s="1"/>
  <c r="P73" i="4"/>
  <c r="T73" i="4" s="1"/>
  <c r="R73" i="4"/>
  <c r="V73" i="4" s="1"/>
  <c r="S73" i="4"/>
  <c r="W73" i="4" s="1"/>
  <c r="M74" i="4"/>
  <c r="O74" i="4" s="1"/>
  <c r="N75" i="4"/>
  <c r="M75" i="4" l="1"/>
  <c r="O75" i="4" s="1"/>
  <c r="N76" i="4"/>
  <c r="Q74" i="4"/>
  <c r="U74" i="4" s="1"/>
  <c r="P74" i="4"/>
  <c r="T74" i="4" s="1"/>
  <c r="R74" i="4"/>
  <c r="V74" i="4" s="1"/>
  <c r="S74" i="4"/>
  <c r="W74" i="4" s="1"/>
  <c r="M76" i="4" l="1"/>
  <c r="O76" i="4" s="1"/>
  <c r="N77" i="4"/>
  <c r="Q75" i="4"/>
  <c r="U75" i="4" s="1"/>
  <c r="P75" i="4"/>
  <c r="T75" i="4" s="1"/>
  <c r="S75" i="4"/>
  <c r="W75" i="4" s="1"/>
  <c r="R75" i="4"/>
  <c r="V75" i="4" s="1"/>
  <c r="M77" i="4" l="1"/>
  <c r="O77" i="4" s="1"/>
  <c r="N78" i="4"/>
  <c r="R76" i="4"/>
  <c r="V76" i="4" s="1"/>
  <c r="Q76" i="4"/>
  <c r="U76" i="4" s="1"/>
  <c r="S76" i="4"/>
  <c r="W76" i="4" s="1"/>
  <c r="P76" i="4"/>
  <c r="T76" i="4" s="1"/>
  <c r="M78" i="4" l="1"/>
  <c r="O78" i="4" s="1"/>
  <c r="N79" i="4"/>
  <c r="R77" i="4"/>
  <c r="V77" i="4" s="1"/>
  <c r="S77" i="4"/>
  <c r="W77" i="4" s="1"/>
  <c r="P77" i="4"/>
  <c r="T77" i="4" s="1"/>
  <c r="Q77" i="4"/>
  <c r="U77" i="4" s="1"/>
  <c r="N80" i="4" l="1"/>
  <c r="M79" i="4"/>
  <c r="O79" i="4" s="1"/>
  <c r="Q78" i="4"/>
  <c r="U78" i="4" s="1"/>
  <c r="P78" i="4"/>
  <c r="T78" i="4" s="1"/>
  <c r="R78" i="4"/>
  <c r="V78" i="4" s="1"/>
  <c r="S78" i="4"/>
  <c r="W78" i="4" s="1"/>
  <c r="R79" i="4" l="1"/>
  <c r="V79" i="4" s="1"/>
  <c r="S79" i="4"/>
  <c r="W79" i="4" s="1"/>
  <c r="Q79" i="4"/>
  <c r="U79" i="4" s="1"/>
  <c r="P79" i="4"/>
  <c r="T79" i="4" s="1"/>
  <c r="M80" i="4"/>
  <c r="O80" i="4" s="1"/>
  <c r="N81" i="4"/>
  <c r="P80" i="4" l="1"/>
  <c r="T80" i="4" s="1"/>
  <c r="Q80" i="4"/>
  <c r="U80" i="4" s="1"/>
  <c r="R80" i="4"/>
  <c r="V80" i="4" s="1"/>
  <c r="S80" i="4"/>
  <c r="W80" i="4" s="1"/>
  <c r="N82" i="4"/>
  <c r="M81" i="4"/>
  <c r="O81" i="4" s="1"/>
  <c r="Q81" i="4" l="1"/>
  <c r="U81" i="4" s="1"/>
  <c r="P81" i="4"/>
  <c r="T81" i="4" s="1"/>
  <c r="R81" i="4"/>
  <c r="V81" i="4" s="1"/>
  <c r="S81" i="4"/>
  <c r="W81" i="4" s="1"/>
  <c r="M82" i="4"/>
  <c r="O82" i="4" s="1"/>
  <c r="N83" i="4"/>
  <c r="Q82" i="4" l="1"/>
  <c r="U82" i="4" s="1"/>
  <c r="R82" i="4"/>
  <c r="V82" i="4" s="1"/>
  <c r="P82" i="4"/>
  <c r="T82" i="4" s="1"/>
  <c r="S82" i="4"/>
  <c r="W82" i="4" s="1"/>
  <c r="M83" i="4"/>
  <c r="O83" i="4" s="1"/>
  <c r="N84" i="4"/>
  <c r="M84" i="4" l="1"/>
  <c r="O84" i="4" s="1"/>
  <c r="N85" i="4"/>
  <c r="P83" i="4"/>
  <c r="T83" i="4" s="1"/>
  <c r="Q83" i="4"/>
  <c r="U83" i="4" s="1"/>
  <c r="R83" i="4"/>
  <c r="V83" i="4" s="1"/>
  <c r="S83" i="4"/>
  <c r="W83" i="4" s="1"/>
  <c r="M85" i="4" l="1"/>
  <c r="O85" i="4" s="1"/>
  <c r="N86" i="4"/>
  <c r="Q84" i="4"/>
  <c r="U84" i="4" s="1"/>
  <c r="R84" i="4"/>
  <c r="V84" i="4" s="1"/>
  <c r="S84" i="4"/>
  <c r="W84" i="4" s="1"/>
  <c r="P84" i="4"/>
  <c r="T84" i="4" s="1"/>
  <c r="M86" i="4" l="1"/>
  <c r="O86" i="4" s="1"/>
  <c r="N87" i="4"/>
  <c r="S85" i="4"/>
  <c r="W85" i="4" s="1"/>
  <c r="Q85" i="4"/>
  <c r="U85" i="4" s="1"/>
  <c r="P85" i="4"/>
  <c r="T85" i="4" s="1"/>
  <c r="R85" i="4"/>
  <c r="V85" i="4" s="1"/>
  <c r="N88" i="4" l="1"/>
  <c r="M87" i="4"/>
  <c r="O87" i="4" s="1"/>
  <c r="Q86" i="4"/>
  <c r="U86" i="4" s="1"/>
  <c r="R86" i="4"/>
  <c r="V86" i="4" s="1"/>
  <c r="S86" i="4"/>
  <c r="W86" i="4" s="1"/>
  <c r="P86" i="4"/>
  <c r="T86" i="4" s="1"/>
  <c r="Q87" i="4" l="1"/>
  <c r="U87" i="4" s="1"/>
  <c r="P87" i="4"/>
  <c r="T87" i="4" s="1"/>
  <c r="S87" i="4"/>
  <c r="W87" i="4" s="1"/>
  <c r="R87" i="4"/>
  <c r="V87" i="4" s="1"/>
  <c r="M88" i="4"/>
  <c r="O88" i="4" s="1"/>
  <c r="N89" i="4"/>
  <c r="P88" i="4" l="1"/>
  <c r="T88" i="4" s="1"/>
  <c r="S88" i="4"/>
  <c r="W88" i="4" s="1"/>
  <c r="Q88" i="4"/>
  <c r="U88" i="4" s="1"/>
  <c r="R88" i="4"/>
  <c r="V88" i="4" s="1"/>
  <c r="M89" i="4"/>
  <c r="O89" i="4" s="1"/>
  <c r="N90" i="4"/>
  <c r="M90" i="4" l="1"/>
  <c r="O90" i="4" s="1"/>
  <c r="N91" i="4"/>
  <c r="P89" i="4"/>
  <c r="T89" i="4" s="1"/>
  <c r="Q89" i="4"/>
  <c r="U89" i="4" s="1"/>
  <c r="S89" i="4"/>
  <c r="W89" i="4" s="1"/>
  <c r="R89" i="4"/>
  <c r="V89" i="4" s="1"/>
  <c r="M91" i="4" l="1"/>
  <c r="O91" i="4" s="1"/>
  <c r="N92" i="4"/>
  <c r="P90" i="4"/>
  <c r="T90" i="4" s="1"/>
  <c r="Q90" i="4"/>
  <c r="U90" i="4" s="1"/>
  <c r="S90" i="4"/>
  <c r="W90" i="4" s="1"/>
  <c r="R90" i="4"/>
  <c r="V90" i="4" s="1"/>
  <c r="M92" i="4" l="1"/>
  <c r="O92" i="4" s="1"/>
  <c r="N93" i="4"/>
  <c r="P91" i="4"/>
  <c r="T91" i="4" s="1"/>
  <c r="R91" i="4"/>
  <c r="V91" i="4" s="1"/>
  <c r="S91" i="4"/>
  <c r="W91" i="4" s="1"/>
  <c r="Q91" i="4"/>
  <c r="U91" i="4" s="1"/>
  <c r="M93" i="4" l="1"/>
  <c r="O93" i="4" s="1"/>
  <c r="N94" i="4"/>
  <c r="R92" i="4"/>
  <c r="V92" i="4" s="1"/>
  <c r="Q92" i="4"/>
  <c r="U92" i="4" s="1"/>
  <c r="P92" i="4"/>
  <c r="T92" i="4" s="1"/>
  <c r="S92" i="4"/>
  <c r="W92" i="4" s="1"/>
  <c r="M94" i="4" l="1"/>
  <c r="O94" i="4" s="1"/>
  <c r="N95" i="4"/>
  <c r="Q93" i="4"/>
  <c r="U93" i="4" s="1"/>
  <c r="R93" i="4"/>
  <c r="V93" i="4" s="1"/>
  <c r="P93" i="4"/>
  <c r="T93" i="4" s="1"/>
  <c r="S93" i="4"/>
  <c r="W93" i="4" s="1"/>
  <c r="M95" i="4" l="1"/>
  <c r="O95" i="4" s="1"/>
  <c r="N96" i="4"/>
  <c r="P94" i="4"/>
  <c r="T94" i="4" s="1"/>
  <c r="R94" i="4"/>
  <c r="V94" i="4" s="1"/>
  <c r="Q94" i="4"/>
  <c r="U94" i="4" s="1"/>
  <c r="S94" i="4"/>
  <c r="W94" i="4" s="1"/>
  <c r="N97" i="4" l="1"/>
  <c r="M96" i="4"/>
  <c r="O96" i="4" s="1"/>
  <c r="Q95" i="4"/>
  <c r="U95" i="4" s="1"/>
  <c r="P95" i="4"/>
  <c r="T95" i="4" s="1"/>
  <c r="R95" i="4"/>
  <c r="V95" i="4" s="1"/>
  <c r="S95" i="4"/>
  <c r="W95" i="4" s="1"/>
  <c r="Q96" i="4" l="1"/>
  <c r="U96" i="4" s="1"/>
  <c r="P96" i="4"/>
  <c r="T96" i="4" s="1"/>
  <c r="R96" i="4"/>
  <c r="V96" i="4" s="1"/>
  <c r="S96" i="4"/>
  <c r="W96" i="4" s="1"/>
  <c r="M97" i="4"/>
  <c r="O97" i="4" s="1"/>
  <c r="N98" i="4"/>
  <c r="M98" i="4" l="1"/>
  <c r="O98" i="4" s="1"/>
  <c r="N99" i="4"/>
  <c r="P97" i="4"/>
  <c r="T97" i="4" s="1"/>
  <c r="Q97" i="4"/>
  <c r="U97" i="4" s="1"/>
  <c r="R97" i="4"/>
  <c r="V97" i="4" s="1"/>
  <c r="S97" i="4"/>
  <c r="W97" i="4" s="1"/>
  <c r="M99" i="4" l="1"/>
  <c r="O99" i="4" s="1"/>
  <c r="N100" i="4"/>
  <c r="R98" i="4"/>
  <c r="V98" i="4" s="1"/>
  <c r="P98" i="4"/>
  <c r="T98" i="4" s="1"/>
  <c r="S98" i="4"/>
  <c r="W98" i="4" s="1"/>
  <c r="Q98" i="4"/>
  <c r="U98" i="4" s="1"/>
  <c r="M100" i="4" l="1"/>
  <c r="O100" i="4" s="1"/>
  <c r="N101" i="4"/>
  <c r="Q99" i="4"/>
  <c r="U99" i="4" s="1"/>
  <c r="S99" i="4"/>
  <c r="W99" i="4" s="1"/>
  <c r="R99" i="4"/>
  <c r="V99" i="4" s="1"/>
  <c r="P99" i="4"/>
  <c r="T99" i="4" s="1"/>
  <c r="M101" i="4" l="1"/>
  <c r="O101" i="4" s="1"/>
  <c r="N102" i="4"/>
  <c r="P100" i="4"/>
  <c r="T100" i="4" s="1"/>
  <c r="S100" i="4"/>
  <c r="W100" i="4" s="1"/>
  <c r="R100" i="4"/>
  <c r="V100" i="4" s="1"/>
  <c r="Q100" i="4"/>
  <c r="U100" i="4" s="1"/>
  <c r="M102" i="4" l="1"/>
  <c r="O102" i="4" s="1"/>
  <c r="N103" i="4"/>
  <c r="P101" i="4"/>
  <c r="T101" i="4" s="1"/>
  <c r="S101" i="4"/>
  <c r="W101" i="4" s="1"/>
  <c r="R101" i="4"/>
  <c r="V101" i="4" s="1"/>
  <c r="Q101" i="4"/>
  <c r="U101" i="4" s="1"/>
  <c r="M103" i="4" l="1"/>
  <c r="O103" i="4" s="1"/>
  <c r="N104" i="4"/>
  <c r="Q102" i="4"/>
  <c r="U102" i="4" s="1"/>
  <c r="S102" i="4"/>
  <c r="W102" i="4" s="1"/>
  <c r="R102" i="4"/>
  <c r="V102" i="4" s="1"/>
  <c r="P102" i="4"/>
  <c r="T102" i="4" s="1"/>
  <c r="M104" i="4" l="1"/>
  <c r="O104" i="4" s="1"/>
  <c r="N105" i="4"/>
  <c r="S103" i="4"/>
  <c r="W103" i="4" s="1"/>
  <c r="R103" i="4"/>
  <c r="V103" i="4" s="1"/>
  <c r="Q103" i="4"/>
  <c r="U103" i="4" s="1"/>
  <c r="P103" i="4"/>
  <c r="T103" i="4" s="1"/>
  <c r="M105" i="4" l="1"/>
  <c r="O105" i="4" s="1"/>
  <c r="N106" i="4"/>
  <c r="Q104" i="4"/>
  <c r="U104" i="4" s="1"/>
  <c r="P104" i="4"/>
  <c r="T104" i="4" s="1"/>
  <c r="S104" i="4"/>
  <c r="W104" i="4" s="1"/>
  <c r="R104" i="4"/>
  <c r="V104" i="4" s="1"/>
  <c r="M106" i="4" l="1"/>
  <c r="O106" i="4" s="1"/>
  <c r="N107" i="4"/>
  <c r="P105" i="4"/>
  <c r="T105" i="4" s="1"/>
  <c r="S105" i="4"/>
  <c r="W105" i="4" s="1"/>
  <c r="R105" i="4"/>
  <c r="V105" i="4" s="1"/>
  <c r="Q105" i="4"/>
  <c r="U105" i="4" s="1"/>
  <c r="M107" i="4" l="1"/>
  <c r="O107" i="4" s="1"/>
  <c r="N108" i="4"/>
  <c r="R106" i="4"/>
  <c r="V106" i="4" s="1"/>
  <c r="S106" i="4"/>
  <c r="W106" i="4" s="1"/>
  <c r="P106" i="4"/>
  <c r="T106" i="4" s="1"/>
  <c r="Q106" i="4"/>
  <c r="U106" i="4" s="1"/>
  <c r="M108" i="4" l="1"/>
  <c r="O108" i="4" s="1"/>
  <c r="N109" i="4"/>
  <c r="P107" i="4"/>
  <c r="T107" i="4" s="1"/>
  <c r="Q107" i="4"/>
  <c r="U107" i="4" s="1"/>
  <c r="S107" i="4"/>
  <c r="W107" i="4" s="1"/>
  <c r="R107" i="4"/>
  <c r="V107" i="4" s="1"/>
  <c r="M109" i="4" l="1"/>
  <c r="O109" i="4" s="1"/>
  <c r="N110" i="4"/>
  <c r="S108" i="4"/>
  <c r="W108" i="4" s="1"/>
  <c r="Q108" i="4"/>
  <c r="U108" i="4" s="1"/>
  <c r="P108" i="4"/>
  <c r="T108" i="4" s="1"/>
  <c r="R108" i="4"/>
  <c r="V108" i="4" s="1"/>
  <c r="M110" i="4" l="1"/>
  <c r="O110" i="4" s="1"/>
  <c r="N111" i="4"/>
  <c r="Q109" i="4"/>
  <c r="U109" i="4" s="1"/>
  <c r="P109" i="4"/>
  <c r="T109" i="4" s="1"/>
  <c r="S109" i="4"/>
  <c r="W109" i="4" s="1"/>
  <c r="R109" i="4"/>
  <c r="V109" i="4" s="1"/>
  <c r="N112" i="4" l="1"/>
  <c r="M111" i="4"/>
  <c r="O111" i="4" s="1"/>
  <c r="R110" i="4"/>
  <c r="V110" i="4" s="1"/>
  <c r="S110" i="4"/>
  <c r="W110" i="4" s="1"/>
  <c r="P110" i="4"/>
  <c r="T110" i="4" s="1"/>
  <c r="Q110" i="4"/>
  <c r="U110" i="4" s="1"/>
  <c r="P111" i="4" l="1"/>
  <c r="T111" i="4" s="1"/>
  <c r="S111" i="4"/>
  <c r="W111" i="4" s="1"/>
  <c r="R111" i="4"/>
  <c r="V111" i="4" s="1"/>
  <c r="Q111" i="4"/>
  <c r="U111" i="4" s="1"/>
  <c r="N113" i="4"/>
  <c r="M112" i="4"/>
  <c r="O112" i="4" s="1"/>
  <c r="Q112" i="4" l="1"/>
  <c r="U112" i="4" s="1"/>
  <c r="S112" i="4"/>
  <c r="W112" i="4" s="1"/>
  <c r="P112" i="4"/>
  <c r="T112" i="4" s="1"/>
  <c r="R112" i="4"/>
  <c r="V112" i="4" s="1"/>
  <c r="N114" i="4"/>
  <c r="M113" i="4"/>
  <c r="O113" i="4" s="1"/>
  <c r="P113" i="4" l="1"/>
  <c r="T113" i="4" s="1"/>
  <c r="Q113" i="4"/>
  <c r="U113" i="4" s="1"/>
  <c r="S113" i="4"/>
  <c r="W113" i="4" s="1"/>
  <c r="R113" i="4"/>
  <c r="V113" i="4" s="1"/>
  <c r="M114" i="4"/>
  <c r="O114" i="4" s="1"/>
  <c r="N115" i="4"/>
  <c r="N116" i="4" l="1"/>
  <c r="M115" i="4"/>
  <c r="O115" i="4" s="1"/>
  <c r="P114" i="4"/>
  <c r="T114" i="4" s="1"/>
  <c r="R114" i="4"/>
  <c r="V114" i="4" s="1"/>
  <c r="Q114" i="4"/>
  <c r="U114" i="4" s="1"/>
  <c r="S114" i="4"/>
  <c r="W114" i="4" s="1"/>
  <c r="Q115" i="4" l="1"/>
  <c r="U115" i="4" s="1"/>
  <c r="P115" i="4"/>
  <c r="T115" i="4" s="1"/>
  <c r="R115" i="4"/>
  <c r="V115" i="4" s="1"/>
  <c r="S115" i="4"/>
  <c r="W115" i="4" s="1"/>
  <c r="M116" i="4"/>
  <c r="O116" i="4" s="1"/>
  <c r="N117" i="4"/>
  <c r="M117" i="4" l="1"/>
  <c r="O117" i="4" s="1"/>
  <c r="N118" i="4"/>
  <c r="P116" i="4"/>
  <c r="T116" i="4" s="1"/>
  <c r="S116" i="4"/>
  <c r="W116" i="4" s="1"/>
  <c r="R116" i="4"/>
  <c r="V116" i="4" s="1"/>
  <c r="Q116" i="4"/>
  <c r="U116" i="4" s="1"/>
  <c r="M118" i="4" l="1"/>
  <c r="O118" i="4" s="1"/>
  <c r="N119" i="4"/>
  <c r="Q117" i="4"/>
  <c r="U117" i="4" s="1"/>
  <c r="S117" i="4"/>
  <c r="W117" i="4" s="1"/>
  <c r="R117" i="4"/>
  <c r="V117" i="4" s="1"/>
  <c r="P117" i="4"/>
  <c r="T117" i="4" s="1"/>
  <c r="N120" i="4" l="1"/>
  <c r="M119" i="4"/>
  <c r="O119" i="4" s="1"/>
  <c r="R118" i="4"/>
  <c r="V118" i="4" s="1"/>
  <c r="Q118" i="4"/>
  <c r="U118" i="4" s="1"/>
  <c r="P118" i="4"/>
  <c r="T118" i="4" s="1"/>
  <c r="S118" i="4"/>
  <c r="W118" i="4" s="1"/>
  <c r="Q119" i="4" l="1"/>
  <c r="U119" i="4" s="1"/>
  <c r="S119" i="4"/>
  <c r="W119" i="4" s="1"/>
  <c r="P119" i="4"/>
  <c r="T119" i="4" s="1"/>
  <c r="R119" i="4"/>
  <c r="V119" i="4" s="1"/>
  <c r="N121" i="4"/>
  <c r="M120" i="4"/>
  <c r="O120" i="4" s="1"/>
  <c r="P120" i="4" l="1"/>
  <c r="T120" i="4" s="1"/>
  <c r="Q120" i="4"/>
  <c r="U120" i="4" s="1"/>
  <c r="S120" i="4"/>
  <c r="W120" i="4" s="1"/>
  <c r="R120" i="4"/>
  <c r="V120" i="4" s="1"/>
  <c r="N122" i="4"/>
  <c r="M121" i="4"/>
  <c r="O121" i="4" s="1"/>
  <c r="Q121" i="4" l="1"/>
  <c r="U121" i="4" s="1"/>
  <c r="P121" i="4"/>
  <c r="T121" i="4" s="1"/>
  <c r="S121" i="4"/>
  <c r="W121" i="4" s="1"/>
  <c r="R121" i="4"/>
  <c r="V121" i="4" s="1"/>
  <c r="M122" i="4"/>
  <c r="O122" i="4" s="1"/>
  <c r="N123" i="4"/>
  <c r="M123" i="4" l="1"/>
  <c r="O123" i="4" s="1"/>
  <c r="N124" i="4"/>
  <c r="R122" i="4"/>
  <c r="V122" i="4" s="1"/>
  <c r="Q122" i="4"/>
  <c r="U122" i="4" s="1"/>
  <c r="S122" i="4"/>
  <c r="W122" i="4" s="1"/>
  <c r="P122" i="4"/>
  <c r="T122" i="4" s="1"/>
  <c r="M124" i="4" l="1"/>
  <c r="O124" i="4" s="1"/>
  <c r="N125" i="4"/>
  <c r="Q123" i="4"/>
  <c r="U123" i="4" s="1"/>
  <c r="P123" i="4"/>
  <c r="T123" i="4" s="1"/>
  <c r="R123" i="4"/>
  <c r="V123" i="4" s="1"/>
  <c r="S123" i="4"/>
  <c r="W123" i="4" s="1"/>
  <c r="M125" i="4" l="1"/>
  <c r="O125" i="4" s="1"/>
  <c r="N126" i="4"/>
  <c r="Q124" i="4"/>
  <c r="U124" i="4" s="1"/>
  <c r="P124" i="4"/>
  <c r="T124" i="4" s="1"/>
  <c r="R124" i="4"/>
  <c r="V124" i="4" s="1"/>
  <c r="S124" i="4"/>
  <c r="W124" i="4" s="1"/>
  <c r="M126" i="4" l="1"/>
  <c r="O126" i="4" s="1"/>
  <c r="N127" i="4"/>
  <c r="P125" i="4"/>
  <c r="T125" i="4" s="1"/>
  <c r="Q125" i="4"/>
  <c r="U125" i="4" s="1"/>
  <c r="R125" i="4"/>
  <c r="V125" i="4" s="1"/>
  <c r="S125" i="4"/>
  <c r="W125" i="4" s="1"/>
  <c r="N128" i="4" l="1"/>
  <c r="M127" i="4"/>
  <c r="O127" i="4" s="1"/>
  <c r="R126" i="4"/>
  <c r="V126" i="4" s="1"/>
  <c r="Q126" i="4"/>
  <c r="U126" i="4" s="1"/>
  <c r="P126" i="4"/>
  <c r="T126" i="4" s="1"/>
  <c r="S126" i="4"/>
  <c r="W126" i="4" s="1"/>
  <c r="Q127" i="4" l="1"/>
  <c r="U127" i="4" s="1"/>
  <c r="S127" i="4"/>
  <c r="W127" i="4" s="1"/>
  <c r="P127" i="4"/>
  <c r="T127" i="4" s="1"/>
  <c r="R127" i="4"/>
  <c r="V127" i="4" s="1"/>
  <c r="N129" i="4"/>
  <c r="M128" i="4"/>
  <c r="O128" i="4" s="1"/>
  <c r="P128" i="4" l="1"/>
  <c r="T128" i="4" s="1"/>
  <c r="S128" i="4"/>
  <c r="W128" i="4" s="1"/>
  <c r="Q128" i="4"/>
  <c r="U128" i="4" s="1"/>
  <c r="R128" i="4"/>
  <c r="V128" i="4" s="1"/>
  <c r="N130" i="4"/>
  <c r="M129" i="4"/>
  <c r="O129" i="4" s="1"/>
  <c r="R129" i="4" l="1"/>
  <c r="V129" i="4" s="1"/>
  <c r="Q129" i="4"/>
  <c r="U129" i="4" s="1"/>
  <c r="S129" i="4"/>
  <c r="W129" i="4" s="1"/>
  <c r="P129" i="4"/>
  <c r="T129" i="4" s="1"/>
  <c r="M130" i="4"/>
  <c r="O130" i="4" s="1"/>
  <c r="N131" i="4"/>
  <c r="M131" i="4" l="1"/>
  <c r="O131" i="4" s="1"/>
  <c r="N132" i="4"/>
  <c r="Q130" i="4"/>
  <c r="U130" i="4" s="1"/>
  <c r="P130" i="4"/>
  <c r="T130" i="4" s="1"/>
  <c r="R130" i="4"/>
  <c r="V130" i="4" s="1"/>
  <c r="S130" i="4"/>
  <c r="W130" i="4" s="1"/>
  <c r="M132" i="4" l="1"/>
  <c r="O132" i="4" s="1"/>
  <c r="N133" i="4"/>
  <c r="P131" i="4"/>
  <c r="T131" i="4" s="1"/>
  <c r="Q131" i="4"/>
  <c r="U131" i="4" s="1"/>
  <c r="S131" i="4"/>
  <c r="W131" i="4" s="1"/>
  <c r="R131" i="4"/>
  <c r="V131" i="4" s="1"/>
  <c r="M133" i="4" l="1"/>
  <c r="O133" i="4" s="1"/>
  <c r="N134" i="4"/>
  <c r="Q132" i="4"/>
  <c r="U132" i="4" s="1"/>
  <c r="S132" i="4"/>
  <c r="W132" i="4" s="1"/>
  <c r="R132" i="4"/>
  <c r="V132" i="4" s="1"/>
  <c r="P132" i="4"/>
  <c r="T132" i="4" s="1"/>
  <c r="M134" i="4" l="1"/>
  <c r="O134" i="4" s="1"/>
  <c r="N135" i="4"/>
  <c r="S133" i="4"/>
  <c r="W133" i="4" s="1"/>
  <c r="P133" i="4"/>
  <c r="T133" i="4" s="1"/>
  <c r="Q133" i="4"/>
  <c r="U133" i="4" s="1"/>
  <c r="R133" i="4"/>
  <c r="V133" i="4" s="1"/>
  <c r="N136" i="4" l="1"/>
  <c r="M135" i="4"/>
  <c r="O135" i="4" s="1"/>
  <c r="P134" i="4"/>
  <c r="T134" i="4" s="1"/>
  <c r="R134" i="4"/>
  <c r="V134" i="4" s="1"/>
  <c r="Q134" i="4"/>
  <c r="U134" i="4" s="1"/>
  <c r="S134" i="4"/>
  <c r="W134" i="4" s="1"/>
  <c r="S135" i="4" l="1"/>
  <c r="W135" i="4" s="1"/>
  <c r="Q135" i="4"/>
  <c r="U135" i="4" s="1"/>
  <c r="R135" i="4"/>
  <c r="V135" i="4" s="1"/>
  <c r="P135" i="4"/>
  <c r="T135" i="4" s="1"/>
  <c r="M136" i="4"/>
  <c r="O136" i="4" s="1"/>
  <c r="N137" i="4"/>
  <c r="N138" i="4" l="1"/>
  <c r="M137" i="4"/>
  <c r="O137" i="4" s="1"/>
  <c r="P136" i="4"/>
  <c r="T136" i="4" s="1"/>
  <c r="Q136" i="4"/>
  <c r="U136" i="4" s="1"/>
  <c r="R136" i="4"/>
  <c r="V136" i="4" s="1"/>
  <c r="S136" i="4"/>
  <c r="W136" i="4" s="1"/>
  <c r="P137" i="4" l="1"/>
  <c r="T137" i="4" s="1"/>
  <c r="Q137" i="4"/>
  <c r="U137" i="4" s="1"/>
  <c r="R137" i="4"/>
  <c r="V137" i="4" s="1"/>
  <c r="S137" i="4"/>
  <c r="W137" i="4" s="1"/>
  <c r="M138" i="4"/>
  <c r="O138" i="4" s="1"/>
  <c r="N139" i="4"/>
  <c r="M139" i="4" l="1"/>
  <c r="O139" i="4" s="1"/>
  <c r="N140" i="4"/>
  <c r="R138" i="4"/>
  <c r="V138" i="4" s="1"/>
  <c r="S138" i="4"/>
  <c r="W138" i="4" s="1"/>
  <c r="Q138" i="4"/>
  <c r="U138" i="4" s="1"/>
  <c r="P138" i="4"/>
  <c r="T138" i="4" s="1"/>
  <c r="M140" i="4" l="1"/>
  <c r="O140" i="4" s="1"/>
  <c r="N141" i="4"/>
  <c r="P139" i="4"/>
  <c r="T139" i="4" s="1"/>
  <c r="R139" i="4"/>
  <c r="V139" i="4" s="1"/>
  <c r="Q139" i="4"/>
  <c r="U139" i="4" s="1"/>
  <c r="S139" i="4"/>
  <c r="W139" i="4" s="1"/>
  <c r="M141" i="4" l="1"/>
  <c r="O141" i="4" s="1"/>
  <c r="N142" i="4"/>
  <c r="P140" i="4"/>
  <c r="T140" i="4" s="1"/>
  <c r="Q140" i="4"/>
  <c r="U140" i="4" s="1"/>
  <c r="S140" i="4"/>
  <c r="W140" i="4" s="1"/>
  <c r="R140" i="4"/>
  <c r="V140" i="4" s="1"/>
  <c r="M142" i="4" l="1"/>
  <c r="O142" i="4" s="1"/>
  <c r="N143" i="4"/>
  <c r="Q141" i="4"/>
  <c r="U141" i="4" s="1"/>
  <c r="S141" i="4"/>
  <c r="W141" i="4" s="1"/>
  <c r="P141" i="4"/>
  <c r="T141" i="4" s="1"/>
  <c r="R141" i="4"/>
  <c r="V141" i="4" s="1"/>
  <c r="N144" i="4" l="1"/>
  <c r="M143" i="4"/>
  <c r="O143" i="4" s="1"/>
  <c r="R142" i="4"/>
  <c r="V142" i="4" s="1"/>
  <c r="P142" i="4"/>
  <c r="T142" i="4" s="1"/>
  <c r="Q142" i="4"/>
  <c r="U142" i="4" s="1"/>
  <c r="S142" i="4"/>
  <c r="W142" i="4" s="1"/>
  <c r="P143" i="4" l="1"/>
  <c r="T143" i="4" s="1"/>
  <c r="S143" i="4"/>
  <c r="W143" i="4" s="1"/>
  <c r="Q143" i="4"/>
  <c r="U143" i="4" s="1"/>
  <c r="R143" i="4"/>
  <c r="V143" i="4" s="1"/>
  <c r="N145" i="4"/>
  <c r="M144" i="4"/>
  <c r="O144" i="4" s="1"/>
  <c r="P144" i="4" l="1"/>
  <c r="T144" i="4" s="1"/>
  <c r="R144" i="4"/>
  <c r="V144" i="4" s="1"/>
  <c r="Q144" i="4"/>
  <c r="U144" i="4" s="1"/>
  <c r="S144" i="4"/>
  <c r="W144" i="4" s="1"/>
  <c r="N146" i="4"/>
  <c r="M145" i="4"/>
  <c r="O145" i="4" s="1"/>
  <c r="P145" i="4" l="1"/>
  <c r="T145" i="4" s="1"/>
  <c r="R145" i="4"/>
  <c r="V145" i="4" s="1"/>
  <c r="S145" i="4"/>
  <c r="W145" i="4" s="1"/>
  <c r="Q145" i="4"/>
  <c r="U145" i="4" s="1"/>
  <c r="M146" i="4"/>
  <c r="O146" i="4" s="1"/>
  <c r="N147" i="4"/>
  <c r="M147" i="4" l="1"/>
  <c r="O147" i="4" s="1"/>
  <c r="N148" i="4"/>
  <c r="Q146" i="4"/>
  <c r="U146" i="4" s="1"/>
  <c r="R146" i="4"/>
  <c r="V146" i="4" s="1"/>
  <c r="P146" i="4"/>
  <c r="T146" i="4" s="1"/>
  <c r="S146" i="4"/>
  <c r="W146" i="4" s="1"/>
  <c r="M148" i="4" l="1"/>
  <c r="O148" i="4" s="1"/>
  <c r="N149" i="4"/>
  <c r="Q147" i="4"/>
  <c r="U147" i="4" s="1"/>
  <c r="P147" i="4"/>
  <c r="T147" i="4" s="1"/>
  <c r="S147" i="4"/>
  <c r="W147" i="4" s="1"/>
  <c r="R147" i="4"/>
  <c r="V147" i="4" s="1"/>
  <c r="N150" i="4" l="1"/>
  <c r="M149" i="4"/>
  <c r="O149" i="4" s="1"/>
  <c r="P148" i="4"/>
  <c r="T148" i="4" s="1"/>
  <c r="R148" i="4"/>
  <c r="V148" i="4" s="1"/>
  <c r="Q148" i="4"/>
  <c r="U148" i="4" s="1"/>
  <c r="S148" i="4"/>
  <c r="W148" i="4" s="1"/>
  <c r="Q149" i="4" l="1"/>
  <c r="U149" i="4" s="1"/>
  <c r="S149" i="4"/>
  <c r="W149" i="4" s="1"/>
  <c r="P149" i="4"/>
  <c r="T149" i="4" s="1"/>
  <c r="R149" i="4"/>
  <c r="V149" i="4" s="1"/>
  <c r="N151" i="4"/>
  <c r="M150" i="4"/>
  <c r="O150" i="4" s="1"/>
  <c r="S150" i="4" l="1"/>
  <c r="W150" i="4" s="1"/>
  <c r="R150" i="4"/>
  <c r="V150" i="4" s="1"/>
  <c r="P150" i="4"/>
  <c r="T150" i="4" s="1"/>
  <c r="Q150" i="4"/>
  <c r="U150" i="4" s="1"/>
  <c r="N152" i="4"/>
  <c r="M151" i="4"/>
  <c r="O151" i="4" s="1"/>
  <c r="S151" i="4" l="1"/>
  <c r="W151" i="4" s="1"/>
  <c r="R151" i="4"/>
  <c r="V151" i="4" s="1"/>
  <c r="Q151" i="4"/>
  <c r="U151" i="4" s="1"/>
  <c r="P151" i="4"/>
  <c r="T151" i="4" s="1"/>
  <c r="M152" i="4"/>
  <c r="O152" i="4" s="1"/>
  <c r="N153" i="4"/>
  <c r="P152" i="4" l="1"/>
  <c r="T152" i="4" s="1"/>
  <c r="S152" i="4"/>
  <c r="W152" i="4" s="1"/>
  <c r="R152" i="4"/>
  <c r="V152" i="4" s="1"/>
  <c r="Q152" i="4"/>
  <c r="U152" i="4" s="1"/>
  <c r="N154" i="4"/>
  <c r="M153" i="4"/>
  <c r="O153" i="4" s="1"/>
  <c r="P153" i="4" l="1"/>
  <c r="T153" i="4" s="1"/>
  <c r="Q153" i="4"/>
  <c r="U153" i="4" s="1"/>
  <c r="R153" i="4"/>
  <c r="V153" i="4" s="1"/>
  <c r="S153" i="4"/>
  <c r="W153" i="4" s="1"/>
  <c r="M154" i="4"/>
  <c r="O154" i="4" s="1"/>
  <c r="N155" i="4"/>
  <c r="M155" i="4" l="1"/>
  <c r="O155" i="4" s="1"/>
  <c r="N156" i="4"/>
  <c r="Q154" i="4"/>
  <c r="U154" i="4" s="1"/>
  <c r="P154" i="4"/>
  <c r="T154" i="4" s="1"/>
  <c r="R154" i="4"/>
  <c r="V154" i="4" s="1"/>
  <c r="S154" i="4"/>
  <c r="W154" i="4" s="1"/>
  <c r="M156" i="4" l="1"/>
  <c r="O156" i="4" s="1"/>
  <c r="N157" i="4"/>
  <c r="Q155" i="4"/>
  <c r="U155" i="4" s="1"/>
  <c r="S155" i="4"/>
  <c r="W155" i="4" s="1"/>
  <c r="P155" i="4"/>
  <c r="T155" i="4" s="1"/>
  <c r="R155" i="4"/>
  <c r="V155" i="4" s="1"/>
  <c r="M157" i="4" l="1"/>
  <c r="O157" i="4" s="1"/>
  <c r="N158" i="4"/>
  <c r="Q156" i="4"/>
  <c r="U156" i="4" s="1"/>
  <c r="R156" i="4"/>
  <c r="V156" i="4" s="1"/>
  <c r="S156" i="4"/>
  <c r="W156" i="4" s="1"/>
  <c r="P156" i="4"/>
  <c r="T156" i="4" s="1"/>
  <c r="N159" i="4" l="1"/>
  <c r="M158" i="4"/>
  <c r="O158" i="4" s="1"/>
  <c r="P157" i="4"/>
  <c r="T157" i="4" s="1"/>
  <c r="Q157" i="4"/>
  <c r="U157" i="4" s="1"/>
  <c r="R157" i="4"/>
  <c r="V157" i="4" s="1"/>
  <c r="S157" i="4"/>
  <c r="W157" i="4" s="1"/>
  <c r="P158" i="4" l="1"/>
  <c r="T158" i="4" s="1"/>
  <c r="Q158" i="4"/>
  <c r="U158" i="4" s="1"/>
  <c r="R158" i="4"/>
  <c r="V158" i="4" s="1"/>
  <c r="S158" i="4"/>
  <c r="W158" i="4" s="1"/>
  <c r="N160" i="4"/>
  <c r="M159" i="4"/>
  <c r="O159" i="4" s="1"/>
  <c r="Q159" i="4" l="1"/>
  <c r="U159" i="4" s="1"/>
  <c r="P159" i="4"/>
  <c r="T159" i="4" s="1"/>
  <c r="R159" i="4"/>
  <c r="V159" i="4" s="1"/>
  <c r="S159" i="4"/>
  <c r="W159" i="4" s="1"/>
  <c r="N161" i="4"/>
  <c r="M160" i="4"/>
  <c r="O160" i="4" s="1"/>
  <c r="Q160" i="4" l="1"/>
  <c r="U160" i="4" s="1"/>
  <c r="R160" i="4"/>
  <c r="V160" i="4" s="1"/>
  <c r="S160" i="4"/>
  <c r="W160" i="4" s="1"/>
  <c r="P160" i="4"/>
  <c r="T160" i="4" s="1"/>
  <c r="M161" i="4"/>
  <c r="O161" i="4" s="1"/>
  <c r="N162" i="4"/>
  <c r="M162" i="4" l="1"/>
  <c r="O162" i="4" s="1"/>
  <c r="N163" i="4"/>
  <c r="P161" i="4"/>
  <c r="T161" i="4" s="1"/>
  <c r="R161" i="4"/>
  <c r="V161" i="4" s="1"/>
  <c r="S161" i="4"/>
  <c r="W161" i="4" s="1"/>
  <c r="Q161" i="4"/>
  <c r="U161" i="4" s="1"/>
  <c r="M163" i="4" l="1"/>
  <c r="O163" i="4" s="1"/>
  <c r="N164" i="4"/>
  <c r="R162" i="4"/>
  <c r="V162" i="4" s="1"/>
  <c r="S162" i="4"/>
  <c r="W162" i="4" s="1"/>
  <c r="P162" i="4"/>
  <c r="T162" i="4" s="1"/>
  <c r="Q162" i="4"/>
  <c r="U162" i="4" s="1"/>
  <c r="M164" i="4" l="1"/>
  <c r="O164" i="4" s="1"/>
  <c r="N165" i="4"/>
  <c r="P163" i="4"/>
  <c r="T163" i="4" s="1"/>
  <c r="R163" i="4"/>
  <c r="V163" i="4" s="1"/>
  <c r="S163" i="4"/>
  <c r="W163" i="4" s="1"/>
  <c r="Q163" i="4"/>
  <c r="U163" i="4" s="1"/>
  <c r="N166" i="4" l="1"/>
  <c r="M165" i="4"/>
  <c r="O165" i="4" s="1"/>
  <c r="Q164" i="4"/>
  <c r="U164" i="4" s="1"/>
  <c r="P164" i="4"/>
  <c r="T164" i="4" s="1"/>
  <c r="R164" i="4"/>
  <c r="V164" i="4" s="1"/>
  <c r="S164" i="4"/>
  <c r="W164" i="4" s="1"/>
  <c r="Q165" i="4" l="1"/>
  <c r="U165" i="4" s="1"/>
  <c r="P165" i="4"/>
  <c r="T165" i="4" s="1"/>
  <c r="S165" i="4"/>
  <c r="W165" i="4" s="1"/>
  <c r="R165" i="4"/>
  <c r="V165" i="4" s="1"/>
  <c r="M166" i="4"/>
  <c r="O166" i="4" s="1"/>
  <c r="N167" i="4"/>
  <c r="M167" i="4" l="1"/>
  <c r="O167" i="4" s="1"/>
  <c r="N168" i="4"/>
  <c r="P166" i="4"/>
  <c r="T166" i="4" s="1"/>
  <c r="R166" i="4"/>
  <c r="V166" i="4" s="1"/>
  <c r="Q166" i="4"/>
  <c r="U166" i="4" s="1"/>
  <c r="S166" i="4"/>
  <c r="W166" i="4" s="1"/>
  <c r="N169" i="4" l="1"/>
  <c r="M168" i="4"/>
  <c r="O168" i="4" s="1"/>
  <c r="Q167" i="4"/>
  <c r="U167" i="4" s="1"/>
  <c r="P167" i="4"/>
  <c r="T167" i="4" s="1"/>
  <c r="R167" i="4"/>
  <c r="V167" i="4" s="1"/>
  <c r="S167" i="4"/>
  <c r="W167" i="4" s="1"/>
  <c r="Q168" i="4" l="1"/>
  <c r="U168" i="4" s="1"/>
  <c r="P168" i="4"/>
  <c r="T168" i="4" s="1"/>
  <c r="S168" i="4"/>
  <c r="W168" i="4" s="1"/>
  <c r="R168" i="4"/>
  <c r="V168" i="4" s="1"/>
  <c r="M169" i="4"/>
  <c r="O169" i="4" s="1"/>
  <c r="N170" i="4"/>
  <c r="M170" i="4" l="1"/>
  <c r="O170" i="4" s="1"/>
  <c r="N171" i="4"/>
  <c r="Q169" i="4"/>
  <c r="U169" i="4" s="1"/>
  <c r="R169" i="4"/>
  <c r="V169" i="4" s="1"/>
  <c r="S169" i="4"/>
  <c r="W169" i="4" s="1"/>
  <c r="P169" i="4"/>
  <c r="T169" i="4" s="1"/>
  <c r="M171" i="4" l="1"/>
  <c r="O171" i="4" s="1"/>
  <c r="N172" i="4"/>
  <c r="Q170" i="4"/>
  <c r="U170" i="4" s="1"/>
  <c r="P170" i="4"/>
  <c r="T170" i="4" s="1"/>
  <c r="R170" i="4"/>
  <c r="V170" i="4" s="1"/>
  <c r="S170" i="4"/>
  <c r="W170" i="4" s="1"/>
  <c r="M172" i="4" l="1"/>
  <c r="O172" i="4" s="1"/>
  <c r="N173" i="4"/>
  <c r="Q171" i="4"/>
  <c r="U171" i="4" s="1"/>
  <c r="P171" i="4"/>
  <c r="T171" i="4" s="1"/>
  <c r="S171" i="4"/>
  <c r="W171" i="4" s="1"/>
  <c r="R171" i="4"/>
  <c r="V171" i="4" s="1"/>
  <c r="M173" i="4" l="1"/>
  <c r="O173" i="4" s="1"/>
  <c r="N174" i="4"/>
  <c r="Q172" i="4"/>
  <c r="U172" i="4" s="1"/>
  <c r="S172" i="4"/>
  <c r="W172" i="4" s="1"/>
  <c r="R172" i="4"/>
  <c r="V172" i="4" s="1"/>
  <c r="P172" i="4"/>
  <c r="T172" i="4" s="1"/>
  <c r="M174" i="4" l="1"/>
  <c r="O174" i="4" s="1"/>
  <c r="N175" i="4"/>
  <c r="Q173" i="4"/>
  <c r="U173" i="4" s="1"/>
  <c r="R173" i="4"/>
  <c r="V173" i="4" s="1"/>
  <c r="S173" i="4"/>
  <c r="W173" i="4" s="1"/>
  <c r="P173" i="4"/>
  <c r="T173" i="4" s="1"/>
  <c r="N176" i="4" l="1"/>
  <c r="M175" i="4"/>
  <c r="O175" i="4" s="1"/>
  <c r="S174" i="4"/>
  <c r="W174" i="4" s="1"/>
  <c r="R174" i="4"/>
  <c r="V174" i="4" s="1"/>
  <c r="Q174" i="4"/>
  <c r="U174" i="4" s="1"/>
  <c r="P174" i="4"/>
  <c r="T174" i="4" s="1"/>
  <c r="Q175" i="4" l="1"/>
  <c r="U175" i="4" s="1"/>
  <c r="P175" i="4"/>
  <c r="T175" i="4" s="1"/>
  <c r="R175" i="4"/>
  <c r="V175" i="4" s="1"/>
  <c r="S175" i="4"/>
  <c r="W175" i="4" s="1"/>
  <c r="M176" i="4"/>
  <c r="O176" i="4" s="1"/>
  <c r="N177" i="4"/>
  <c r="N178" i="4" l="1"/>
  <c r="M177" i="4"/>
  <c r="O177" i="4" s="1"/>
  <c r="P176" i="4"/>
  <c r="T176" i="4" s="1"/>
  <c r="Q176" i="4"/>
  <c r="U176" i="4" s="1"/>
  <c r="R176" i="4"/>
  <c r="V176" i="4" s="1"/>
  <c r="S176" i="4"/>
  <c r="W176" i="4" s="1"/>
  <c r="S177" i="4" l="1"/>
  <c r="W177" i="4" s="1"/>
  <c r="Q177" i="4"/>
  <c r="U177" i="4" s="1"/>
  <c r="R177" i="4"/>
  <c r="V177" i="4" s="1"/>
  <c r="P177" i="4"/>
  <c r="T177" i="4" s="1"/>
  <c r="M178" i="4"/>
  <c r="O178" i="4" s="1"/>
  <c r="N179" i="4"/>
  <c r="N180" i="4" l="1"/>
  <c r="M179" i="4"/>
  <c r="O179" i="4" s="1"/>
  <c r="R178" i="4"/>
  <c r="V178" i="4" s="1"/>
  <c r="S178" i="4"/>
  <c r="W178" i="4" s="1"/>
  <c r="Q178" i="4"/>
  <c r="U178" i="4" s="1"/>
  <c r="P178" i="4"/>
  <c r="T178" i="4" s="1"/>
  <c r="Q179" i="4" l="1"/>
  <c r="U179" i="4" s="1"/>
  <c r="R179" i="4"/>
  <c r="V179" i="4" s="1"/>
  <c r="S179" i="4"/>
  <c r="W179" i="4" s="1"/>
  <c r="P179" i="4"/>
  <c r="T179" i="4" s="1"/>
  <c r="M180" i="4"/>
  <c r="O180" i="4" s="1"/>
  <c r="N181" i="4"/>
  <c r="N182" i="4" l="1"/>
  <c r="M181" i="4"/>
  <c r="O181" i="4" s="1"/>
  <c r="S180" i="4"/>
  <c r="W180" i="4" s="1"/>
  <c r="P180" i="4"/>
  <c r="T180" i="4" s="1"/>
  <c r="Q180" i="4"/>
  <c r="U180" i="4" s="1"/>
  <c r="R180" i="4"/>
  <c r="V180" i="4" s="1"/>
  <c r="P181" i="4" l="1"/>
  <c r="T181" i="4" s="1"/>
  <c r="R181" i="4"/>
  <c r="V181" i="4" s="1"/>
  <c r="S181" i="4"/>
  <c r="W181" i="4" s="1"/>
  <c r="Q181" i="4"/>
  <c r="U181" i="4" s="1"/>
  <c r="M182" i="4"/>
  <c r="O182" i="4" s="1"/>
  <c r="N183" i="4"/>
  <c r="M183" i="4" l="1"/>
  <c r="O183" i="4" s="1"/>
  <c r="N184" i="4"/>
  <c r="Q182" i="4"/>
  <c r="U182" i="4" s="1"/>
  <c r="P182" i="4"/>
  <c r="T182" i="4" s="1"/>
  <c r="S182" i="4"/>
  <c r="W182" i="4" s="1"/>
  <c r="R182" i="4"/>
  <c r="V182" i="4" s="1"/>
  <c r="N185" i="4" l="1"/>
  <c r="M184" i="4"/>
  <c r="O184" i="4" s="1"/>
  <c r="R183" i="4"/>
  <c r="V183" i="4" s="1"/>
  <c r="S183" i="4"/>
  <c r="W183" i="4" s="1"/>
  <c r="P183" i="4"/>
  <c r="T183" i="4" s="1"/>
  <c r="Q183" i="4"/>
  <c r="U183" i="4" s="1"/>
  <c r="S184" i="4" l="1"/>
  <c r="W184" i="4" s="1"/>
  <c r="Q184" i="4"/>
  <c r="U184" i="4" s="1"/>
  <c r="P184" i="4"/>
  <c r="T184" i="4" s="1"/>
  <c r="R184" i="4"/>
  <c r="V184" i="4" s="1"/>
  <c r="M185" i="4"/>
  <c r="O185" i="4" s="1"/>
  <c r="N186" i="4"/>
  <c r="M186" i="4" l="1"/>
  <c r="O186" i="4" s="1"/>
  <c r="N187" i="4"/>
  <c r="P185" i="4"/>
  <c r="T185" i="4" s="1"/>
  <c r="Q185" i="4"/>
  <c r="U185" i="4" s="1"/>
  <c r="R185" i="4"/>
  <c r="V185" i="4" s="1"/>
  <c r="S185" i="4"/>
  <c r="W185" i="4" s="1"/>
  <c r="M187" i="4" l="1"/>
  <c r="O187" i="4" s="1"/>
  <c r="N188" i="4"/>
  <c r="Q186" i="4"/>
  <c r="U186" i="4" s="1"/>
  <c r="S186" i="4"/>
  <c r="W186" i="4" s="1"/>
  <c r="R186" i="4"/>
  <c r="V186" i="4" s="1"/>
  <c r="P186" i="4"/>
  <c r="T186" i="4" s="1"/>
  <c r="N189" i="4" l="1"/>
  <c r="M188" i="4"/>
  <c r="O188" i="4" s="1"/>
  <c r="P187" i="4"/>
  <c r="T187" i="4" s="1"/>
  <c r="S187" i="4"/>
  <c r="W187" i="4" s="1"/>
  <c r="Q187" i="4"/>
  <c r="U187" i="4" s="1"/>
  <c r="R187" i="4"/>
  <c r="V187" i="4" s="1"/>
  <c r="Q188" i="4" l="1"/>
  <c r="U188" i="4" s="1"/>
  <c r="R188" i="4"/>
  <c r="V188" i="4" s="1"/>
  <c r="P188" i="4"/>
  <c r="T188" i="4" s="1"/>
  <c r="S188" i="4"/>
  <c r="W188" i="4" s="1"/>
  <c r="N190" i="4"/>
  <c r="M190" i="4" s="1"/>
  <c r="O190" i="4" s="1"/>
  <c r="M189" i="4"/>
  <c r="O189" i="4" s="1"/>
  <c r="S189" i="4" l="1"/>
  <c r="W189" i="4" s="1"/>
  <c r="P189" i="4"/>
  <c r="T189" i="4" s="1"/>
  <c r="Q189" i="4"/>
  <c r="U189" i="4" s="1"/>
  <c r="R189" i="4"/>
  <c r="V189" i="4" s="1"/>
  <c r="S190" i="4"/>
  <c r="W190" i="4" s="1"/>
  <c r="P190" i="4"/>
  <c r="T190" i="4" s="1"/>
  <c r="Q190" i="4"/>
  <c r="U190" i="4" s="1"/>
  <c r="R190" i="4"/>
  <c r="V190" i="4" s="1"/>
  <c r="Q16" i="7" l="1"/>
  <c r="R16" i="7" l="1"/>
  <c r="S16" i="7" s="1"/>
  <c r="J34" i="2"/>
  <c r="D21" i="7" l="1"/>
  <c r="E21" i="7" s="1"/>
  <c r="M191" i="4"/>
  <c r="J56" i="2"/>
  <c r="J55" i="2" s="1"/>
  <c r="O6" i="2"/>
  <c r="F21" i="7"/>
  <c r="R56" i="2" l="1"/>
  <c r="X191" i="4"/>
  <c r="D22" i="7"/>
  <c r="E22" i="7" s="1"/>
  <c r="F22" i="7"/>
  <c r="K34" i="2"/>
  <c r="J33" i="2"/>
  <c r="J35" i="2"/>
  <c r="M9" i="2"/>
  <c r="E30" i="7" l="1"/>
  <c r="F30" i="7" s="1"/>
  <c r="T16" i="7"/>
  <c r="K35" i="2"/>
  <c r="J36" i="2"/>
  <c r="R55" i="2"/>
  <c r="K33" i="2"/>
  <c r="J32" i="2"/>
  <c r="L34" i="2"/>
  <c r="O34" i="2" s="1"/>
  <c r="N34" i="2"/>
  <c r="Q34" i="2" s="1"/>
  <c r="E31" i="7" l="1"/>
  <c r="F31" i="7" s="1"/>
  <c r="K32" i="2"/>
  <c r="J31" i="2"/>
  <c r="K36" i="2"/>
  <c r="J37" i="2"/>
  <c r="L35" i="2"/>
  <c r="O35" i="2" s="1"/>
  <c r="N35" i="2"/>
  <c r="Q35" i="2" s="1"/>
  <c r="N33" i="2"/>
  <c r="Q33" i="2" s="1"/>
  <c r="L33" i="2"/>
  <c r="O33" i="2" s="1"/>
  <c r="K37" i="2" l="1"/>
  <c r="M37" i="2" s="1"/>
  <c r="P37" i="2" s="1"/>
  <c r="J38" i="2"/>
  <c r="M32" i="2"/>
  <c r="P32" i="2" s="1"/>
  <c r="M34" i="2"/>
  <c r="P34" i="2" s="1"/>
  <c r="M35" i="2"/>
  <c r="P35" i="2" s="1"/>
  <c r="M33" i="2"/>
  <c r="P33" i="2" s="1"/>
  <c r="M36" i="2"/>
  <c r="P36" i="2" s="1"/>
  <c r="L36" i="2"/>
  <c r="O36" i="2" s="1"/>
  <c r="N36" i="2"/>
  <c r="Q36" i="2" s="1"/>
  <c r="J30" i="2"/>
  <c r="K31" i="2"/>
  <c r="M31" i="2" s="1"/>
  <c r="P31" i="2" s="1"/>
  <c r="L32" i="2"/>
  <c r="O32" i="2" s="1"/>
  <c r="N32" i="2"/>
  <c r="Q32" i="2" s="1"/>
  <c r="K30" i="2" l="1"/>
  <c r="J29" i="2"/>
  <c r="L31" i="2"/>
  <c r="O31" i="2" s="1"/>
  <c r="N31" i="2"/>
  <c r="Q31" i="2" s="1"/>
  <c r="J39" i="2"/>
  <c r="K38" i="2"/>
  <c r="N37" i="2"/>
  <c r="Q37" i="2" s="1"/>
  <c r="L37" i="2"/>
  <c r="O37" i="2" s="1"/>
  <c r="N38" i="2" l="1"/>
  <c r="Q38" i="2" s="1"/>
  <c r="L38" i="2"/>
  <c r="O38" i="2" s="1"/>
  <c r="M38" i="2"/>
  <c r="P38" i="2" s="1"/>
  <c r="J40" i="2"/>
  <c r="K39" i="2"/>
  <c r="J28" i="2"/>
  <c r="K29" i="2"/>
  <c r="L30" i="2"/>
  <c r="O30" i="2" s="1"/>
  <c r="N30" i="2"/>
  <c r="Q30" i="2" s="1"/>
  <c r="M30" i="2"/>
  <c r="P30" i="2" s="1"/>
  <c r="N29" i="2" l="1"/>
  <c r="Q29" i="2" s="1"/>
  <c r="L29" i="2"/>
  <c r="O29" i="2" s="1"/>
  <c r="M29" i="2"/>
  <c r="P29" i="2" s="1"/>
  <c r="K28" i="2"/>
  <c r="J27" i="2"/>
  <c r="N39" i="2"/>
  <c r="Q39" i="2" s="1"/>
  <c r="L39" i="2"/>
  <c r="O39" i="2" s="1"/>
  <c r="M39" i="2"/>
  <c r="P39" i="2" s="1"/>
  <c r="J41" i="2"/>
  <c r="K40" i="2"/>
  <c r="J26" i="2" l="1"/>
  <c r="K27" i="2"/>
  <c r="N28" i="2"/>
  <c r="Q28" i="2" s="1"/>
  <c r="L28" i="2"/>
  <c r="O28" i="2" s="1"/>
  <c r="M28" i="2"/>
  <c r="P28" i="2" s="1"/>
  <c r="L40" i="2"/>
  <c r="O40" i="2" s="1"/>
  <c r="N40" i="2"/>
  <c r="Q40" i="2" s="1"/>
  <c r="M40" i="2"/>
  <c r="P40" i="2" s="1"/>
  <c r="J42" i="2"/>
  <c r="K41" i="2"/>
  <c r="L41" i="2" l="1"/>
  <c r="O41" i="2" s="1"/>
  <c r="N41" i="2"/>
  <c r="Q41" i="2" s="1"/>
  <c r="M41" i="2"/>
  <c r="P41" i="2" s="1"/>
  <c r="L27" i="2"/>
  <c r="O27" i="2" s="1"/>
  <c r="N27" i="2"/>
  <c r="Q27" i="2" s="1"/>
  <c r="M27" i="2"/>
  <c r="P27" i="2" s="1"/>
  <c r="J43" i="2"/>
  <c r="K42" i="2"/>
  <c r="K26" i="2"/>
  <c r="J25" i="2"/>
  <c r="L42" i="2" l="1"/>
  <c r="O42" i="2" s="1"/>
  <c r="N42" i="2"/>
  <c r="Q42" i="2" s="1"/>
  <c r="M42" i="2"/>
  <c r="P42" i="2" s="1"/>
  <c r="K43" i="2"/>
  <c r="J44" i="2"/>
  <c r="J24" i="2"/>
  <c r="K25" i="2"/>
  <c r="L26" i="2"/>
  <c r="O26" i="2" s="1"/>
  <c r="N26" i="2"/>
  <c r="Q26" i="2" s="1"/>
  <c r="M26" i="2"/>
  <c r="P26" i="2" s="1"/>
  <c r="L25" i="2" l="1"/>
  <c r="O25" i="2" s="1"/>
  <c r="N25" i="2"/>
  <c r="Q25" i="2" s="1"/>
  <c r="M25" i="2"/>
  <c r="P25" i="2" s="1"/>
  <c r="K24" i="2"/>
  <c r="J23" i="2"/>
  <c r="K44" i="2"/>
  <c r="J45" i="2"/>
  <c r="L43" i="2"/>
  <c r="O43" i="2" s="1"/>
  <c r="N43" i="2"/>
  <c r="Q43" i="2" s="1"/>
  <c r="M43" i="2"/>
  <c r="P43" i="2" s="1"/>
  <c r="K45" i="2" l="1"/>
  <c r="J46" i="2"/>
  <c r="L44" i="2"/>
  <c r="O44" i="2" s="1"/>
  <c r="N44" i="2"/>
  <c r="Q44" i="2" s="1"/>
  <c r="M44" i="2"/>
  <c r="P44" i="2" s="1"/>
  <c r="J22" i="2"/>
  <c r="K23" i="2"/>
  <c r="L24" i="2"/>
  <c r="O24" i="2" s="1"/>
  <c r="N24" i="2"/>
  <c r="Q24" i="2" s="1"/>
  <c r="M24" i="2"/>
  <c r="P24" i="2" s="1"/>
  <c r="L23" i="2" l="1"/>
  <c r="O23" i="2" s="1"/>
  <c r="N23" i="2"/>
  <c r="Q23" i="2" s="1"/>
  <c r="M23" i="2"/>
  <c r="P23" i="2" s="1"/>
  <c r="K22" i="2"/>
  <c r="J21" i="2"/>
  <c r="J47" i="2"/>
  <c r="K46" i="2"/>
  <c r="N45" i="2"/>
  <c r="Q45" i="2" s="1"/>
  <c r="L45" i="2"/>
  <c r="O45" i="2" s="1"/>
  <c r="M45" i="2"/>
  <c r="P45" i="2" s="1"/>
  <c r="N46" i="2" l="1"/>
  <c r="Q46" i="2" s="1"/>
  <c r="L46" i="2"/>
  <c r="O46" i="2" s="1"/>
  <c r="M46" i="2"/>
  <c r="P46" i="2" s="1"/>
  <c r="J48" i="2"/>
  <c r="K47" i="2"/>
  <c r="K21" i="2"/>
  <c r="J20" i="2"/>
  <c r="N22" i="2"/>
  <c r="Q22" i="2" s="1"/>
  <c r="L22" i="2"/>
  <c r="O22" i="2" s="1"/>
  <c r="M22" i="2"/>
  <c r="P22" i="2" s="1"/>
  <c r="K20" i="2" l="1"/>
  <c r="J19" i="2"/>
  <c r="N21" i="2"/>
  <c r="Q21" i="2" s="1"/>
  <c r="L21" i="2"/>
  <c r="O21" i="2" s="1"/>
  <c r="M21" i="2"/>
  <c r="P21" i="2" s="1"/>
  <c r="L47" i="2"/>
  <c r="O47" i="2" s="1"/>
  <c r="N47" i="2"/>
  <c r="Q47" i="2" s="1"/>
  <c r="M47" i="2"/>
  <c r="P47" i="2" s="1"/>
  <c r="J49" i="2"/>
  <c r="K48" i="2"/>
  <c r="L48" i="2" l="1"/>
  <c r="O48" i="2" s="1"/>
  <c r="N48" i="2"/>
  <c r="Q48" i="2" s="1"/>
  <c r="M48" i="2"/>
  <c r="P48" i="2" s="1"/>
  <c r="J18" i="2"/>
  <c r="K19" i="2"/>
  <c r="J50" i="2"/>
  <c r="K49" i="2"/>
  <c r="N20" i="2"/>
  <c r="Q20" i="2" s="1"/>
  <c r="L20" i="2"/>
  <c r="O20" i="2" s="1"/>
  <c r="M20" i="2"/>
  <c r="P20" i="2" s="1"/>
  <c r="N49" i="2" l="1"/>
  <c r="Q49" i="2" s="1"/>
  <c r="L49" i="2"/>
  <c r="O49" i="2" s="1"/>
  <c r="M49" i="2"/>
  <c r="P49" i="2" s="1"/>
  <c r="K50" i="2"/>
  <c r="J51" i="2"/>
  <c r="N19" i="2"/>
  <c r="Q19" i="2" s="1"/>
  <c r="L19" i="2"/>
  <c r="O19" i="2" s="1"/>
  <c r="M19" i="2"/>
  <c r="P19" i="2" s="1"/>
  <c r="K18" i="2"/>
  <c r="J17" i="2"/>
  <c r="J52" i="2" l="1"/>
  <c r="K51" i="2"/>
  <c r="L50" i="2"/>
  <c r="O50" i="2" s="1"/>
  <c r="N50" i="2"/>
  <c r="Q50" i="2" s="1"/>
  <c r="M50" i="2"/>
  <c r="P50" i="2" s="1"/>
  <c r="J16" i="2"/>
  <c r="K17" i="2"/>
  <c r="L18" i="2"/>
  <c r="O18" i="2" s="1"/>
  <c r="N18" i="2"/>
  <c r="Q18" i="2" s="1"/>
  <c r="M18" i="2"/>
  <c r="P18" i="2" s="1"/>
  <c r="N17" i="2" l="1"/>
  <c r="Q17" i="2" s="1"/>
  <c r="L17" i="2"/>
  <c r="O17" i="2" s="1"/>
  <c r="M17" i="2"/>
  <c r="P17" i="2" s="1"/>
  <c r="K16" i="2"/>
  <c r="J15" i="2"/>
  <c r="L51" i="2"/>
  <c r="O51" i="2" s="1"/>
  <c r="N51" i="2"/>
  <c r="Q51" i="2" s="1"/>
  <c r="M51" i="2"/>
  <c r="P51" i="2" s="1"/>
  <c r="J53" i="2"/>
  <c r="K52" i="2"/>
  <c r="J14" i="2" l="1"/>
  <c r="K14" i="2" s="1"/>
  <c r="K15" i="2"/>
  <c r="N16" i="2"/>
  <c r="Q16" i="2" s="1"/>
  <c r="L16" i="2"/>
  <c r="O16" i="2" s="1"/>
  <c r="M16" i="2"/>
  <c r="P16" i="2" s="1"/>
  <c r="N52" i="2"/>
  <c r="Q52" i="2" s="1"/>
  <c r="L52" i="2"/>
  <c r="O52" i="2" s="1"/>
  <c r="M52" i="2"/>
  <c r="P52" i="2" s="1"/>
  <c r="K53" i="2"/>
  <c r="J54" i="2"/>
  <c r="K54" i="2" s="1"/>
  <c r="N54" i="2" l="1"/>
  <c r="Q54" i="2" s="1"/>
  <c r="L54" i="2"/>
  <c r="O54" i="2" s="1"/>
  <c r="M54" i="2"/>
  <c r="P54" i="2" s="1"/>
  <c r="N15" i="2"/>
  <c r="Q15" i="2" s="1"/>
  <c r="L15" i="2"/>
  <c r="O15" i="2" s="1"/>
  <c r="M15" i="2"/>
  <c r="P15" i="2" s="1"/>
  <c r="N53" i="2"/>
  <c r="Q53" i="2" s="1"/>
  <c r="L53" i="2"/>
  <c r="O53" i="2" s="1"/>
  <c r="M53" i="2"/>
  <c r="P53" i="2" s="1"/>
  <c r="N14" i="2"/>
  <c r="Q14" i="2" s="1"/>
  <c r="L14" i="2"/>
  <c r="O14" i="2" s="1"/>
  <c r="M14" i="2"/>
  <c r="P14" i="2" s="1"/>
</calcChain>
</file>

<file path=xl/sharedStrings.xml><?xml version="1.0" encoding="utf-8"?>
<sst xmlns="http://schemas.openxmlformats.org/spreadsheetml/2006/main" count="149" uniqueCount="131">
  <si>
    <t>h</t>
  </si>
  <si>
    <t>LHA:</t>
  </si>
  <si>
    <t>UTC</t>
  </si>
  <si>
    <t>nm</t>
  </si>
  <si>
    <t>LHA° :</t>
  </si>
  <si>
    <t>LHA°_ :</t>
  </si>
  <si>
    <t>j</t>
  </si>
  <si>
    <t>lv</t>
  </si>
  <si>
    <r>
      <rPr>
        <sz val="12"/>
        <rFont val="Symbol"/>
        <charset val="2"/>
      </rPr>
      <t>j</t>
    </r>
    <r>
      <rPr>
        <sz val="9"/>
        <rFont val="Calibri"/>
        <family val="2"/>
      </rPr>
      <t>rad</t>
    </r>
  </si>
  <si>
    <r>
      <t>P</t>
    </r>
    <r>
      <rPr>
        <sz val="9"/>
        <rFont val="Symbol"/>
        <charset val="2"/>
      </rPr>
      <t>l</t>
    </r>
    <r>
      <rPr>
        <sz val="9"/>
        <rFont val="Helvetica Neue"/>
        <family val="2"/>
      </rPr>
      <t>1</t>
    </r>
  </si>
  <si>
    <r>
      <t>P</t>
    </r>
    <r>
      <rPr>
        <sz val="9"/>
        <rFont val="Symbol"/>
        <charset val="2"/>
      </rPr>
      <t>l</t>
    </r>
    <r>
      <rPr>
        <sz val="9"/>
        <rFont val="Helvetica Neue"/>
        <family val="2"/>
      </rPr>
      <t>2</t>
    </r>
  </si>
  <si>
    <r>
      <t>P</t>
    </r>
    <r>
      <rPr>
        <sz val="9"/>
        <rFont val="Symbol"/>
        <charset val="2"/>
      </rPr>
      <t>l</t>
    </r>
    <r>
      <rPr>
        <sz val="9"/>
        <rFont val="Calibri (Textkörper)"/>
      </rPr>
      <t>S</t>
    </r>
  </si>
  <si>
    <r>
      <rPr>
        <sz val="12"/>
        <rFont val="Symbol"/>
        <charset val="2"/>
      </rPr>
      <t>l</t>
    </r>
    <r>
      <rPr>
        <sz val="9"/>
        <rFont val="Helvetica Neue"/>
        <family val="2"/>
      </rPr>
      <t>1</t>
    </r>
  </si>
  <si>
    <r>
      <rPr>
        <sz val="12"/>
        <rFont val="Symbol"/>
        <charset val="2"/>
      </rPr>
      <t>l</t>
    </r>
    <r>
      <rPr>
        <sz val="9"/>
        <rFont val="Helvetica Neue"/>
        <family val="2"/>
      </rPr>
      <t>2</t>
    </r>
  </si>
  <si>
    <t>DMG</t>
  </si>
  <si>
    <t xml:space="preserve">_A1 = </t>
  </si>
  <si>
    <t xml:space="preserve">_A2 = </t>
  </si>
  <si>
    <t xml:space="preserve">_A3 = </t>
  </si>
  <si>
    <t xml:space="preserve">_A4 = </t>
  </si>
  <si>
    <t xml:space="preserve">_B1 = </t>
  </si>
  <si>
    <t xml:space="preserve">_B2 = </t>
  </si>
  <si>
    <t xml:space="preserve">_B3 = </t>
  </si>
  <si>
    <t xml:space="preserve">_B4 = </t>
  </si>
  <si>
    <t xml:space="preserve">Dat ref = </t>
  </si>
  <si>
    <r>
      <rPr>
        <sz val="12"/>
        <color theme="1"/>
        <rFont val="Symbol"/>
        <charset val="2"/>
      </rPr>
      <t>j</t>
    </r>
    <r>
      <rPr>
        <vertAlign val="subscript"/>
        <sz val="12"/>
        <color theme="1"/>
        <rFont val="Helvetica Neue"/>
        <family val="2"/>
      </rPr>
      <t>W-1</t>
    </r>
  </si>
  <si>
    <r>
      <rPr>
        <sz val="12"/>
        <color theme="1"/>
        <rFont val="Symbol"/>
        <charset val="2"/>
      </rPr>
      <t>j</t>
    </r>
    <r>
      <rPr>
        <vertAlign val="subscript"/>
        <sz val="12"/>
        <color theme="1"/>
        <rFont val="Helvetica Neue"/>
        <family val="2"/>
      </rPr>
      <t>rad</t>
    </r>
  </si>
  <si>
    <r>
      <t>P</t>
    </r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1</t>
    </r>
  </si>
  <si>
    <r>
      <t>P</t>
    </r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1s</t>
    </r>
  </si>
  <si>
    <r>
      <t>P</t>
    </r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2</t>
    </r>
  </si>
  <si>
    <r>
      <t>P</t>
    </r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2s</t>
    </r>
  </si>
  <si>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1</t>
    </r>
  </si>
  <si>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1s</t>
    </r>
  </si>
  <si>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2</t>
    </r>
  </si>
  <si>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2s</t>
    </r>
  </si>
  <si>
    <t>Pos.</t>
  </si>
  <si>
    <t>Sun</t>
  </si>
  <si>
    <t>sun navigation</t>
  </si>
  <si>
    <t>V</t>
  </si>
  <si>
    <t>G</t>
  </si>
  <si>
    <t>Name</t>
  </si>
  <si>
    <t>F</t>
  </si>
  <si>
    <t>W</t>
  </si>
  <si>
    <t>q</t>
  </si>
  <si>
    <t>LHA</t>
  </si>
  <si>
    <t>reading</t>
  </si>
  <si>
    <t>corr</t>
  </si>
  <si>
    <t>add</t>
  </si>
  <si>
    <t>index</t>
  </si>
  <si>
    <t xml:space="preserve">obs. 1: </t>
  </si>
  <si>
    <t xml:space="preserve">obs. 2: </t>
  </si>
  <si>
    <t>M</t>
  </si>
  <si>
    <t>e</t>
  </si>
  <si>
    <t>C</t>
  </si>
  <si>
    <t>L</t>
  </si>
  <si>
    <t>GHA</t>
  </si>
  <si>
    <t>d</t>
  </si>
  <si>
    <t>l</t>
  </si>
  <si>
    <t>z</t>
  </si>
  <si>
    <t>sailed:</t>
  </si>
  <si>
    <t>month</t>
  </si>
  <si>
    <t>chosen:</t>
  </si>
  <si>
    <r>
      <t xml:space="preserve">Password:  </t>
    </r>
    <r>
      <rPr>
        <b/>
        <sz val="16"/>
        <rFont val="Helvetica Neue"/>
        <family val="2"/>
      </rPr>
      <t>change</t>
    </r>
  </si>
  <si>
    <t>pos. 1:</t>
  </si>
  <si>
    <t>Settings</t>
  </si>
  <si>
    <t>Measure 1</t>
  </si>
  <si>
    <t>Measure 2</t>
  </si>
  <si>
    <t>Time UT1:</t>
  </si>
  <si>
    <t>Azimuth Az:</t>
  </si>
  <si>
    <t>Observed altitude h:</t>
  </si>
  <si>
    <t>Sextant reading:</t>
  </si>
  <si>
    <t xml:space="preserve">Correction </t>
  </si>
  <si>
    <t>Position</t>
  </si>
  <si>
    <t>Ephemeris</t>
  </si>
  <si>
    <t xml:space="preserve">Date: </t>
  </si>
  <si>
    <t xml:space="preserve">hh:mm:ss: </t>
  </si>
  <si>
    <t>DMG:</t>
  </si>
  <si>
    <t>CMG:</t>
  </si>
  <si>
    <t xml:space="preserve">Eye level / m: </t>
  </si>
  <si>
    <t xml:space="preserve">obs.1: </t>
  </si>
  <si>
    <t xml:space="preserve">obs.2: </t>
  </si>
  <si>
    <t>NM</t>
  </si>
  <si>
    <t>in the meantime</t>
  </si>
  <si>
    <t>Sailed</t>
  </si>
  <si>
    <t xml:space="preserve">Hemisphere / N, S: </t>
  </si>
  <si>
    <t>Calculated position</t>
  </si>
  <si>
    <t xml:space="preserve">Noon: </t>
  </si>
  <si>
    <t xml:space="preserve">Latitude: </t>
  </si>
  <si>
    <t xml:space="preserve">Longitude: </t>
  </si>
  <si>
    <t>GHA:</t>
  </si>
  <si>
    <t>Password:     change</t>
  </si>
  <si>
    <t>Site graphic area</t>
  </si>
  <si>
    <r>
      <t xml:space="preserve">sailed latitude </t>
    </r>
    <r>
      <rPr>
        <sz val="12"/>
        <color theme="1"/>
        <rFont val="Symbol"/>
        <charset val="2"/>
      </rPr>
      <t>Dj</t>
    </r>
    <r>
      <rPr>
        <sz val="12"/>
        <color theme="1"/>
        <rFont val="Helvetica Neue"/>
        <family val="2"/>
      </rPr>
      <t>:</t>
    </r>
  </si>
  <si>
    <r>
      <t>sailed longitude</t>
    </r>
    <r>
      <rPr>
        <sz val="12"/>
        <color theme="1"/>
        <rFont val="Symbol"/>
        <charset val="2"/>
      </rPr>
      <t xml:space="preserve"> Dl</t>
    </r>
    <r>
      <rPr>
        <sz val="12"/>
        <color theme="1"/>
        <rFont val="Helvetica Neue"/>
        <family val="2"/>
      </rPr>
      <t>:</t>
    </r>
  </si>
  <si>
    <t xml:space="preserve">latitude increment: </t>
  </si>
  <si>
    <r>
      <t xml:space="preserve">sailed </t>
    </r>
    <r>
      <rPr>
        <sz val="14"/>
        <color theme="1"/>
        <rFont val="Symbol"/>
        <charset val="2"/>
      </rPr>
      <t xml:space="preserve">l </t>
    </r>
    <r>
      <rPr>
        <sz val="14"/>
        <color theme="1"/>
        <rFont val="Helvetica Neue"/>
        <family val="2"/>
      </rPr>
      <t>and</t>
    </r>
    <r>
      <rPr>
        <sz val="14"/>
        <color theme="1"/>
        <rFont val="Symbol"/>
        <charset val="2"/>
      </rPr>
      <t xml:space="preserve"> j</t>
    </r>
    <r>
      <rPr>
        <sz val="14"/>
        <color theme="1"/>
        <rFont val="Helvetica Neue"/>
        <family val="2"/>
      </rPr>
      <t xml:space="preserve"> for grafic</t>
    </r>
  </si>
  <si>
    <t>Grafic surrounding</t>
  </si>
  <si>
    <t>Grafic global</t>
  </si>
  <si>
    <t xml:space="preserve">North extension large circle: </t>
  </si>
  <si>
    <t xml:space="preserve">South extension large circle: </t>
  </si>
  <si>
    <t xml:space="preserve">North extension small circle: </t>
  </si>
  <si>
    <t xml:space="preserve">South extension small circle: </t>
  </si>
  <si>
    <t>North extension if only one circle:</t>
  </si>
  <si>
    <t>South extension if only one circle:</t>
  </si>
  <si>
    <t>Diameter of large circle:</t>
  </si>
  <si>
    <t>Diameter of small circle:</t>
  </si>
  <si>
    <t>given number of steps for large circle:</t>
  </si>
  <si>
    <t>proportional number of steps for small circle:</t>
  </si>
  <si>
    <t>half step difference (top/bottom):</t>
  </si>
  <si>
    <t>Step width in the latitude:</t>
  </si>
  <si>
    <t>Steps</t>
  </si>
  <si>
    <t>Calculation table</t>
  </si>
  <si>
    <t xml:space="preserve">Latitude range:  </t>
  </si>
  <si>
    <t xml:space="preserve">dd.mm.jj: </t>
  </si>
  <si>
    <t>Navigation with Excel</t>
  </si>
  <si>
    <t>Value</t>
  </si>
  <si>
    <t>d:</t>
  </si>
  <si>
    <t>Sextant index error</t>
  </si>
  <si>
    <t>low</t>
  </si>
  <si>
    <t>T</t>
  </si>
  <si>
    <r>
      <t>l</t>
    </r>
    <r>
      <rPr>
        <vertAlign val="subscript"/>
        <sz val="12"/>
        <color theme="1"/>
        <rFont val="Symbol"/>
        <charset val="2"/>
      </rPr>
      <t>0</t>
    </r>
  </si>
  <si>
    <r>
      <rPr>
        <sz val="12"/>
        <color theme="1"/>
        <rFont val="Symbol"/>
        <charset val="2"/>
      </rPr>
      <t>l</t>
    </r>
    <r>
      <rPr>
        <sz val="12"/>
        <color theme="1"/>
        <rFont val="Calibri"/>
        <family val="2"/>
        <scheme val="minor"/>
      </rPr>
      <t>*</t>
    </r>
  </si>
  <si>
    <r>
      <t>h</t>
    </r>
    <r>
      <rPr>
        <vertAlign val="subscript"/>
        <sz val="12"/>
        <color theme="1"/>
        <rFont val="Helvetica Neue"/>
        <family val="2"/>
      </rPr>
      <t>rad</t>
    </r>
  </si>
  <si>
    <r>
      <t>L</t>
    </r>
    <r>
      <rPr>
        <vertAlign val="subscript"/>
        <sz val="12"/>
        <color theme="1"/>
        <rFont val="Calibri (Textkörper)"/>
      </rPr>
      <t>rad</t>
    </r>
  </si>
  <si>
    <r>
      <t>𝜛</t>
    </r>
    <r>
      <rPr>
        <vertAlign val="subscript"/>
        <sz val="12"/>
        <color theme="1"/>
        <rFont val="Calibri (Textkörper)"/>
      </rPr>
      <t>rad</t>
    </r>
  </si>
  <si>
    <r>
      <t>e</t>
    </r>
    <r>
      <rPr>
        <vertAlign val="subscript"/>
        <sz val="12"/>
        <color theme="1"/>
        <rFont val="Calibri"/>
        <family val="2"/>
      </rPr>
      <t>rad</t>
    </r>
  </si>
  <si>
    <r>
      <t>g</t>
    </r>
    <r>
      <rPr>
        <vertAlign val="subscript"/>
        <sz val="12"/>
        <color theme="1"/>
        <rFont val="Calibri (Textkörper)"/>
      </rPr>
      <t>rad</t>
    </r>
  </si>
  <si>
    <r>
      <t>Grt</t>
    </r>
    <r>
      <rPr>
        <vertAlign val="subscript"/>
        <sz val="12"/>
        <color theme="1"/>
        <rFont val="Calibri (Textkörper)"/>
      </rPr>
      <t>0</t>
    </r>
  </si>
  <si>
    <r>
      <t>h</t>
    </r>
    <r>
      <rPr>
        <vertAlign val="subscript"/>
        <sz val="12"/>
        <color theme="1"/>
        <rFont val="Calibri (Textkörper)"/>
      </rPr>
      <t>s</t>
    </r>
  </si>
  <si>
    <t>N</t>
  </si>
  <si>
    <t>*) L for low or U for high</t>
  </si>
  <si>
    <r>
      <t>Sun limb</t>
    </r>
    <r>
      <rPr>
        <sz val="14"/>
        <color rgb="FFFF0000"/>
        <rFont val="Calibri (Textkörper)"/>
      </rPr>
      <t>*)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</si>
</sst>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">
    <numFmt numFmtId="164" formatCode="0.0000"/>
    <numFmt numFmtId="165" formatCode="0.000"/>
    <numFmt numFmtId="166" formatCode="0.0"/>
    <numFmt numFmtId="167" formatCode="[$-407]d/\ mmm/;@"/>
    <numFmt numFmtId="168" formatCode="[$-F400]h:mm:ss\ AM/PM"/>
    <numFmt numFmtId="169" formatCode="[$-407]d/\ mmm\ yy;@"/>
    <numFmt numFmtId="170" formatCode="0.000_ ;[Red]\-0.000\ "/>
    <numFmt numFmtId="171" formatCode="0.0000_ ;[Red]\-0.0000\ "/>
    <numFmt numFmtId="172" formatCode="0.00\°"/>
    <numFmt numFmtId="173" formatCode="0\°"/>
    <numFmt numFmtId="174" formatCode="0.000\°"/>
    <numFmt numFmtId="175" formatCode="000\°"/>
    <numFmt numFmtId="176" formatCode="0.00\'"/>
    <numFmt numFmtId="177" formatCode="0.0\'"/>
    <numFmt numFmtId="178" formatCode="0.00\°;[Red]0.00\°"/>
    <numFmt numFmtId="179" formatCode="0.0\°"/>
    <numFmt numFmtId="180" formatCode="#,##0.00\ _€"/>
    <numFmt numFmtId="181" formatCode="0.00_ ;[Red]\-0.00\ "/>
    <numFmt numFmtId="182" formatCode="d/m/yyyy;@"/>
    <numFmt numFmtId="183" formatCode="h:mm:ss;@"/>
  </numFmts>
  <fonts count="58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Lucida Calligraphy Italic"/>
    </font>
    <font>
      <b/>
      <sz val="18"/>
      <color theme="1"/>
      <name val="Lucida Calligraphy Italic"/>
    </font>
    <font>
      <sz val="12"/>
      <color theme="1"/>
      <name val="Helvetica Neue"/>
      <family val="2"/>
    </font>
    <font>
      <sz val="11"/>
      <color theme="1"/>
      <name val="Helvetica Neue"/>
      <family val="2"/>
    </font>
    <font>
      <sz val="10"/>
      <color theme="1"/>
      <name val="Helvetica Neue"/>
      <family val="2"/>
    </font>
    <font>
      <sz val="9"/>
      <color rgb="FFC00000"/>
      <name val="Helvetica Neue"/>
      <family val="2"/>
    </font>
    <font>
      <sz val="12"/>
      <color theme="1"/>
      <name val="Symbol"/>
      <charset val="2"/>
    </font>
    <font>
      <sz val="11"/>
      <name val="Helvetica Neue"/>
      <family val="2"/>
    </font>
    <font>
      <sz val="11"/>
      <color theme="1"/>
      <name val="Calibri"/>
      <family val="2"/>
      <scheme val="minor"/>
    </font>
    <font>
      <sz val="14"/>
      <color theme="1"/>
      <name val="Helvetica Neue"/>
      <family val="2"/>
    </font>
    <font>
      <b/>
      <sz val="11"/>
      <color theme="1"/>
      <name val="Helvetica Neue"/>
      <family val="2"/>
    </font>
    <font>
      <sz val="10"/>
      <color theme="1"/>
      <name val="Calibri"/>
      <family val="2"/>
      <scheme val="minor"/>
    </font>
    <font>
      <sz val="12"/>
      <name val="Helvetica Neue"/>
      <family val="2"/>
    </font>
    <font>
      <sz val="12"/>
      <color theme="1"/>
      <name val="Calibri"/>
      <family val="2"/>
      <charset val="2"/>
      <scheme val="minor"/>
    </font>
    <font>
      <sz val="12"/>
      <color theme="1"/>
      <name val="Calibri (Textkörper)"/>
    </font>
    <font>
      <sz val="1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6"/>
      <name val="Helvetica Neue"/>
      <family val="2"/>
    </font>
    <font>
      <sz val="18"/>
      <color theme="1" tint="0.34998626667073579"/>
      <name val="Lucida Calligraphy Italic"/>
    </font>
    <font>
      <sz val="12"/>
      <color theme="0" tint="-0.499984740745262"/>
      <name val="Calibri"/>
      <family val="2"/>
      <scheme val="minor"/>
    </font>
    <font>
      <sz val="12"/>
      <color theme="1"/>
      <name val="Calibri"/>
      <family val="2"/>
      <charset val="2"/>
    </font>
    <font>
      <sz val="12"/>
      <color rgb="FFFF0000"/>
      <name val="Calibri"/>
      <family val="2"/>
      <scheme val="minor"/>
    </font>
    <font>
      <sz val="14"/>
      <color theme="1"/>
      <name val="Symbol"/>
      <charset val="2"/>
    </font>
    <font>
      <sz val="12"/>
      <name val="Symbol"/>
      <charset val="2"/>
    </font>
    <font>
      <sz val="12"/>
      <name val="Calibri"/>
      <family val="2"/>
      <charset val="2"/>
    </font>
    <font>
      <sz val="12"/>
      <name val="Helvetica Neue"/>
      <family val="2"/>
      <charset val="2"/>
    </font>
    <font>
      <sz val="9"/>
      <name val="Helvetica Neue"/>
      <family val="2"/>
      <charset val="2"/>
    </font>
    <font>
      <sz val="12"/>
      <color rgb="FF00B050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sz val="11"/>
      <color rgb="FF00B050"/>
      <name val="Helvetica Neue"/>
      <family val="2"/>
    </font>
    <font>
      <sz val="11"/>
      <color rgb="FFFF0000"/>
      <name val="Helvetica Neue"/>
      <family val="2"/>
    </font>
    <font>
      <sz val="11"/>
      <color theme="9" tint="-0.249977111117893"/>
      <name val="Helvetica Neue"/>
      <family val="2"/>
    </font>
    <font>
      <sz val="11"/>
      <color rgb="FF0070C0"/>
      <name val="Helvetica Neue"/>
      <family val="2"/>
    </font>
    <font>
      <sz val="9"/>
      <name val="Calibri"/>
      <family val="2"/>
    </font>
    <font>
      <sz val="9"/>
      <name val="Symbol"/>
      <charset val="2"/>
    </font>
    <font>
      <sz val="9"/>
      <name val="Helvetica Neue"/>
      <family val="2"/>
    </font>
    <font>
      <sz val="9"/>
      <name val="Calibri (Textkörper)"/>
    </font>
    <font>
      <sz val="12"/>
      <color theme="1"/>
      <name val="Helvetica Neue"/>
      <family val="2"/>
      <charset val="2"/>
    </font>
    <font>
      <vertAlign val="subscript"/>
      <sz val="12"/>
      <color theme="1"/>
      <name val="Helvetica Neue"/>
      <family val="2"/>
    </font>
    <font>
      <b/>
      <sz val="12"/>
      <color theme="1"/>
      <name val="Lucida Calligraphy Italic"/>
    </font>
    <font>
      <b/>
      <sz val="16"/>
      <name val="Helvetica Neue"/>
      <family val="2"/>
    </font>
    <font>
      <sz val="14"/>
      <color theme="1"/>
      <name val="Calibri"/>
      <family val="2"/>
      <scheme val="minor"/>
    </font>
    <font>
      <b/>
      <sz val="12"/>
      <color theme="1"/>
      <name val="Symbol"/>
      <charset val="2"/>
    </font>
    <font>
      <b/>
      <sz val="14"/>
      <color theme="1"/>
      <name val="Calibri"/>
      <family val="2"/>
      <scheme val="minor"/>
    </font>
    <font>
      <sz val="14"/>
      <color theme="1"/>
      <name val="Lucida Calligraphy Italic"/>
    </font>
    <font>
      <sz val="13"/>
      <color theme="1"/>
      <name val="Calibri"/>
      <family val="2"/>
      <scheme val="minor"/>
    </font>
    <font>
      <sz val="10"/>
      <color theme="1" tint="0.34998626667073579"/>
      <name val="Lucida Calligraphy Italic"/>
    </font>
    <font>
      <b/>
      <sz val="18"/>
      <color rgb="FFC00000"/>
      <name val="Lucida Calligraphy Italic"/>
    </font>
    <font>
      <sz val="14"/>
      <name val="Calibri"/>
      <family val="2"/>
      <scheme val="minor"/>
    </font>
    <font>
      <sz val="14"/>
      <color rgb="FF000000"/>
      <name val="Calibri"/>
      <family val="2"/>
      <scheme val="minor"/>
    </font>
    <font>
      <vertAlign val="subscript"/>
      <sz val="12"/>
      <color theme="1"/>
      <name val="Symbol"/>
      <charset val="2"/>
    </font>
    <font>
      <vertAlign val="subscript"/>
      <sz val="12"/>
      <color theme="1"/>
      <name val="Calibri (Textkörper)"/>
    </font>
    <font>
      <vertAlign val="subscript"/>
      <sz val="12"/>
      <color theme="1"/>
      <name val="Calibri"/>
      <family val="2"/>
    </font>
    <font>
      <sz val="14"/>
      <color rgb="FFFF0000"/>
      <name val="Calibri (Textkörper)"/>
    </font>
    <font>
      <sz val="12"/>
      <color rgb="FFFF0000"/>
      <name val="Helvetica Neue"/>
      <family val="2"/>
    </font>
  </fonts>
  <fills count="10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AFDE0"/>
        <bgColor indexed="64"/>
      </patternFill>
    </fill>
  </fills>
  <borders count="152">
    <border>
      <left/>
      <right/>
      <top/>
      <bottom/>
      <diagonal/>
    </border>
    <border>
      <left style="medium">
        <color rgb="FF0070C0"/>
      </left>
      <right style="thin">
        <color rgb="FF0070C0"/>
      </right>
      <top style="medium">
        <color rgb="FF0070C0"/>
      </top>
      <bottom style="hair">
        <color rgb="FF0070C0"/>
      </bottom>
      <diagonal/>
    </border>
    <border>
      <left style="medium">
        <color rgb="FF0070C0"/>
      </left>
      <right style="thin">
        <color rgb="FF0070C0"/>
      </right>
      <top style="hair">
        <color rgb="FF0070C0"/>
      </top>
      <bottom style="medium">
        <color rgb="FF0070C0"/>
      </bottom>
      <diagonal/>
    </border>
    <border>
      <left style="thin">
        <color rgb="FF0070C0"/>
      </left>
      <right style="thin">
        <color rgb="FF0070C0"/>
      </right>
      <top style="hair">
        <color rgb="FF0070C0"/>
      </top>
      <bottom style="medium">
        <color rgb="FF0070C0"/>
      </bottom>
      <diagonal/>
    </border>
    <border>
      <left style="thin">
        <color rgb="FF0070C0"/>
      </left>
      <right style="thin">
        <color rgb="FF0070C0"/>
      </right>
      <top style="medium">
        <color rgb="FF0070C0"/>
      </top>
      <bottom style="medium">
        <color rgb="FF0070C0"/>
      </bottom>
      <diagonal/>
    </border>
    <border>
      <left style="medium">
        <color rgb="FF00B050"/>
      </left>
      <right style="thin">
        <color rgb="FF00B050"/>
      </right>
      <top style="medium">
        <color rgb="FF00B050"/>
      </top>
      <bottom style="hair">
        <color rgb="FF00B050"/>
      </bottom>
      <diagonal/>
    </border>
    <border>
      <left style="thin">
        <color rgb="FF00B050"/>
      </left>
      <right style="medium">
        <color rgb="FF00B050"/>
      </right>
      <top style="medium">
        <color rgb="FF00B050"/>
      </top>
      <bottom style="hair">
        <color rgb="FF00B050"/>
      </bottom>
      <diagonal/>
    </border>
    <border>
      <left style="medium">
        <color rgb="FF00B050"/>
      </left>
      <right style="thin">
        <color rgb="FF00B050"/>
      </right>
      <top style="hair">
        <color rgb="FF00B050"/>
      </top>
      <bottom style="medium">
        <color rgb="FF00B050"/>
      </bottom>
      <diagonal/>
    </border>
    <border>
      <left style="thin">
        <color rgb="FF00B050"/>
      </left>
      <right style="medium">
        <color rgb="FF00B050"/>
      </right>
      <top style="hair">
        <color rgb="FF00B050"/>
      </top>
      <bottom style="medium">
        <color rgb="FF00B050"/>
      </bottom>
      <diagonal/>
    </border>
    <border>
      <left style="medium">
        <color rgb="FF00B050"/>
      </left>
      <right style="thin">
        <color auto="1"/>
      </right>
      <top style="medium">
        <color rgb="FF00B050"/>
      </top>
      <bottom style="medium">
        <color rgb="FF00B050"/>
      </bottom>
      <diagonal/>
    </border>
    <border>
      <left style="medium">
        <color rgb="FF00B050"/>
      </left>
      <right style="thin">
        <color rgb="FF00B050"/>
      </right>
      <top style="hair">
        <color rgb="FF00B050"/>
      </top>
      <bottom style="hair">
        <color rgb="FF00B050"/>
      </bottom>
      <diagonal/>
    </border>
    <border>
      <left style="thin">
        <color rgb="FF00B050"/>
      </left>
      <right style="medium">
        <color rgb="FF00B050"/>
      </right>
      <top style="hair">
        <color rgb="FF00B050"/>
      </top>
      <bottom style="hair">
        <color rgb="FF00B050"/>
      </bottom>
      <diagonal/>
    </border>
    <border>
      <left style="thin">
        <color rgb="FF0070C0"/>
      </left>
      <right style="thin">
        <color rgb="FF0070C0"/>
      </right>
      <top style="medium">
        <color rgb="FF0070C0"/>
      </top>
      <bottom style="hair">
        <color rgb="FF0070C0"/>
      </bottom>
      <diagonal/>
    </border>
    <border>
      <left/>
      <right/>
      <top style="medium">
        <color rgb="FF0070C0"/>
      </top>
      <bottom style="hair">
        <color rgb="FF0070C0"/>
      </bottom>
      <diagonal/>
    </border>
    <border>
      <left/>
      <right/>
      <top style="hair">
        <color rgb="FF0070C0"/>
      </top>
      <bottom style="medium">
        <color rgb="FF0070C0"/>
      </bottom>
      <diagonal/>
    </border>
    <border>
      <left style="thin">
        <color rgb="FF0070C0"/>
      </left>
      <right style="medium">
        <color rgb="FF0070C0"/>
      </right>
      <top style="hair">
        <color rgb="FF0070C0"/>
      </top>
      <bottom style="medium">
        <color rgb="FF0070C0"/>
      </bottom>
      <diagonal/>
    </border>
    <border>
      <left style="thin">
        <color rgb="FF0070C0"/>
      </left>
      <right style="medium">
        <color rgb="FF0070C0"/>
      </right>
      <top style="medium">
        <color rgb="FF0070C0"/>
      </top>
      <bottom style="hair">
        <color rgb="FF0070C0"/>
      </bottom>
      <diagonal/>
    </border>
    <border>
      <left style="thin">
        <color auto="1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thin">
        <color rgb="FFC00000"/>
      </left>
      <right style="medium">
        <color rgb="FFC00000"/>
      </right>
      <top style="hair">
        <color rgb="FFC00000"/>
      </top>
      <bottom style="medium">
        <color rgb="FFC00000"/>
      </bottom>
      <diagonal/>
    </border>
    <border>
      <left/>
      <right style="thin">
        <color rgb="FF0070C0"/>
      </right>
      <top style="hair">
        <color rgb="FF0070C0"/>
      </top>
      <bottom style="medium">
        <color rgb="FF0070C0"/>
      </bottom>
      <diagonal/>
    </border>
    <border>
      <left style="thin">
        <color rgb="FFC00000"/>
      </left>
      <right style="thin">
        <color rgb="FFC00000"/>
      </right>
      <top/>
      <bottom style="hair">
        <color rgb="FFC00000"/>
      </bottom>
      <diagonal/>
    </border>
    <border>
      <left style="medium">
        <color rgb="FF0070C0"/>
      </left>
      <right/>
      <top/>
      <bottom style="medium">
        <color rgb="FF0070C0"/>
      </bottom>
      <diagonal/>
    </border>
    <border>
      <left style="medium">
        <color rgb="FFC00000"/>
      </left>
      <right style="thin">
        <color rgb="FFC00000"/>
      </right>
      <top/>
      <bottom style="medium">
        <color rgb="FFC00000"/>
      </bottom>
      <diagonal/>
    </border>
    <border>
      <left style="thin">
        <color rgb="FFC00000"/>
      </left>
      <right style="thin">
        <color rgb="FFC00000"/>
      </right>
      <top style="hair">
        <color rgb="FFC00000"/>
      </top>
      <bottom style="medium">
        <color rgb="FFC00000"/>
      </bottom>
      <diagonal/>
    </border>
    <border>
      <left style="medium">
        <color rgb="FF00B050"/>
      </left>
      <right/>
      <top style="medium">
        <color rgb="FF00B050"/>
      </top>
      <bottom/>
      <diagonal/>
    </border>
    <border>
      <left style="medium">
        <color rgb="FF00B050"/>
      </left>
      <right/>
      <top/>
      <bottom style="medium">
        <color rgb="FF00B05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2" tint="-0.24994659260841701"/>
      </left>
      <right/>
      <top style="medium">
        <color theme="2" tint="-0.24994659260841701"/>
      </top>
      <bottom/>
      <diagonal/>
    </border>
    <border>
      <left/>
      <right/>
      <top style="medium">
        <color theme="2" tint="-0.24994659260841701"/>
      </top>
      <bottom/>
      <diagonal/>
    </border>
    <border>
      <left/>
      <right style="medium">
        <color theme="2" tint="-0.24994659260841701"/>
      </right>
      <top style="medium">
        <color theme="2" tint="-0.24994659260841701"/>
      </top>
      <bottom/>
      <diagonal/>
    </border>
    <border>
      <left style="medium">
        <color theme="2" tint="-0.24994659260841701"/>
      </left>
      <right/>
      <top/>
      <bottom/>
      <diagonal/>
    </border>
    <border>
      <left/>
      <right style="medium">
        <color theme="2" tint="-0.24994659260841701"/>
      </right>
      <top/>
      <bottom/>
      <diagonal/>
    </border>
    <border>
      <left style="medium">
        <color theme="2" tint="-0.24994659260841701"/>
      </left>
      <right/>
      <top/>
      <bottom style="medium">
        <color theme="2" tint="-0.24994659260841701"/>
      </bottom>
      <diagonal/>
    </border>
    <border>
      <left/>
      <right/>
      <top/>
      <bottom style="medium">
        <color theme="2" tint="-0.24994659260841701"/>
      </bottom>
      <diagonal/>
    </border>
    <border>
      <left/>
      <right style="medium">
        <color theme="2" tint="-0.24994659260841701"/>
      </right>
      <top/>
      <bottom style="medium">
        <color theme="2" tint="-0.24994659260841701"/>
      </bottom>
      <diagonal/>
    </border>
    <border>
      <left style="medium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hair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hair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hair">
        <color theme="0" tint="-0.34998626667073579"/>
      </bottom>
      <diagonal/>
    </border>
    <border>
      <left style="medium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hair">
        <color theme="0" tint="-0.34998626667073579"/>
      </top>
      <bottom/>
      <diagonal/>
    </border>
    <border>
      <left style="medium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hair">
        <color theme="0" tint="-0.34998626667073579"/>
      </top>
      <bottom style="medium">
        <color theme="0" tint="-0.34998626667073579"/>
      </bottom>
      <diagonal/>
    </border>
    <border>
      <left/>
      <right style="thin">
        <color rgb="FF0070C0"/>
      </right>
      <top style="medium">
        <color rgb="FF0070C0"/>
      </top>
      <bottom style="medium">
        <color rgb="FF0070C0"/>
      </bottom>
      <diagonal/>
    </border>
    <border>
      <left style="medium">
        <color rgb="FF0070C0"/>
      </left>
      <right style="thin">
        <color rgb="FF0070C0"/>
      </right>
      <top style="medium">
        <color rgb="FF0070C0"/>
      </top>
      <bottom style="medium">
        <color rgb="FF0070C0"/>
      </bottom>
      <diagonal/>
    </border>
    <border>
      <left style="thin">
        <color rgb="FF0070C0"/>
      </left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/>
      <right style="thin">
        <color rgb="FF0070C0"/>
      </right>
      <top style="medium">
        <color rgb="FF0070C0"/>
      </top>
      <bottom/>
      <diagonal/>
    </border>
    <border>
      <left/>
      <right style="thin">
        <color rgb="FF0070C0"/>
      </right>
      <top style="hair">
        <color rgb="FF0070C0"/>
      </top>
      <bottom style="hair">
        <color rgb="FF0070C0"/>
      </bottom>
      <diagonal/>
    </border>
    <border>
      <left style="thin">
        <color rgb="FF0070C0"/>
      </left>
      <right style="medium">
        <color rgb="FF0070C0"/>
      </right>
      <top style="hair">
        <color rgb="FF0070C0"/>
      </top>
      <bottom style="hair">
        <color rgb="FF0070C0"/>
      </bottom>
      <diagonal/>
    </border>
    <border>
      <left style="medium">
        <color rgb="FF0070C0"/>
      </left>
      <right style="thin">
        <color rgb="FF0070C0"/>
      </right>
      <top style="hair">
        <color rgb="FF0070C0"/>
      </top>
      <bottom style="hair">
        <color rgb="FF0070C0"/>
      </bottom>
      <diagonal/>
    </border>
    <border>
      <left style="thin">
        <color rgb="FF0070C0"/>
      </left>
      <right style="thin">
        <color rgb="FF0070C0"/>
      </right>
      <top style="hair">
        <color rgb="FF0070C0"/>
      </top>
      <bottom style="hair">
        <color rgb="FF0070C0"/>
      </bottom>
      <diagonal/>
    </border>
    <border>
      <left style="medium">
        <color rgb="FF0070C0"/>
      </left>
      <right/>
      <top style="medium">
        <color rgb="FF0070C0"/>
      </top>
      <bottom style="hair">
        <color rgb="FF0070C0"/>
      </bottom>
      <diagonal/>
    </border>
    <border>
      <left style="medium">
        <color rgb="FF0070C0"/>
      </left>
      <right/>
      <top style="hair">
        <color rgb="FF0070C0"/>
      </top>
      <bottom style="medium">
        <color rgb="FF0070C0"/>
      </bottom>
      <diagonal/>
    </border>
    <border>
      <left style="medium">
        <color rgb="FF0070C0"/>
      </left>
      <right/>
      <top style="hair">
        <color rgb="FF0070C0"/>
      </top>
      <bottom style="hair">
        <color rgb="FF0070C0"/>
      </bottom>
      <diagonal/>
    </border>
    <border>
      <left/>
      <right/>
      <top style="hair">
        <color rgb="FF0070C0"/>
      </top>
      <bottom style="hair">
        <color rgb="FF0070C0"/>
      </bottom>
      <diagonal/>
    </border>
    <border>
      <left style="medium">
        <color rgb="FF0070C0"/>
      </left>
      <right/>
      <top style="medium">
        <color rgb="FF0070C0"/>
      </top>
      <bottom/>
      <diagonal/>
    </border>
    <border>
      <left/>
      <right/>
      <top style="medium">
        <color rgb="FF0070C0"/>
      </top>
      <bottom/>
      <diagonal/>
    </border>
    <border>
      <left/>
      <right style="thin">
        <color rgb="FF0070C0"/>
      </right>
      <top style="hair">
        <color rgb="FF0070C0"/>
      </top>
      <bottom/>
      <diagonal/>
    </border>
    <border>
      <left style="thin">
        <color rgb="FF0070C0"/>
      </left>
      <right style="medium">
        <color rgb="FF0070C0"/>
      </right>
      <top style="hair">
        <color rgb="FF0070C0"/>
      </top>
      <bottom/>
      <diagonal/>
    </border>
    <border>
      <left style="medium">
        <color rgb="FF0070C0"/>
      </left>
      <right style="thin">
        <color rgb="FF0070C0"/>
      </right>
      <top style="hair">
        <color rgb="FF0070C0"/>
      </top>
      <bottom/>
      <diagonal/>
    </border>
    <border>
      <left style="thin">
        <color rgb="FF0070C0"/>
      </left>
      <right style="thin">
        <color rgb="FF0070C0"/>
      </right>
      <top style="hair">
        <color rgb="FF0070C0"/>
      </top>
      <bottom/>
      <diagonal/>
    </border>
    <border>
      <left style="medium">
        <color rgb="FF0070C0"/>
      </left>
      <right style="thin">
        <color rgb="FF0070C0"/>
      </right>
      <top style="thin">
        <color rgb="FF0070C0"/>
      </top>
      <bottom style="hair">
        <color rgb="FF0070C0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hair">
        <color rgb="FF0070C0"/>
      </bottom>
      <diagonal/>
    </border>
    <border>
      <left style="thin">
        <color rgb="FF0070C0"/>
      </left>
      <right style="medium">
        <color rgb="FF0070C0"/>
      </right>
      <top style="thin">
        <color rgb="FF0070C0"/>
      </top>
      <bottom style="hair">
        <color rgb="FF0070C0"/>
      </bottom>
      <diagonal/>
    </border>
    <border>
      <left style="thin">
        <color rgb="FF0070C0"/>
      </left>
      <right style="thin">
        <color rgb="FF0070C0"/>
      </right>
      <top style="hair">
        <color rgb="FF0070C0"/>
      </top>
      <bottom style="thin">
        <color rgb="FF0070C0"/>
      </bottom>
      <diagonal/>
    </border>
    <border>
      <left style="thin">
        <color rgb="FF0070C0"/>
      </left>
      <right style="medium">
        <color rgb="FF0070C0"/>
      </right>
      <top style="hair">
        <color rgb="FF0070C0"/>
      </top>
      <bottom style="thin">
        <color rgb="FF0070C0"/>
      </bottom>
      <diagonal/>
    </border>
    <border>
      <left style="thin">
        <color rgb="FF0070C0"/>
      </left>
      <right style="thin">
        <color rgb="FF0070C0"/>
      </right>
      <top/>
      <bottom style="hair">
        <color rgb="FF0070C0"/>
      </bottom>
      <diagonal/>
    </border>
    <border>
      <left style="thin">
        <color rgb="FF0070C0"/>
      </left>
      <right style="medium">
        <color rgb="FF0070C0"/>
      </right>
      <top/>
      <bottom style="hair">
        <color rgb="FF0070C0"/>
      </bottom>
      <diagonal/>
    </border>
    <border>
      <left style="thin">
        <color rgb="FF00B050"/>
      </left>
      <right style="thin">
        <color rgb="FF00B050"/>
      </right>
      <top style="hair">
        <color rgb="FF00B050"/>
      </top>
      <bottom style="medium">
        <color rgb="FF00B050"/>
      </bottom>
      <diagonal/>
    </border>
    <border>
      <left style="medium">
        <color rgb="FF00B050"/>
      </left>
      <right style="thin">
        <color rgb="FF00B050"/>
      </right>
      <top/>
      <bottom style="hair">
        <color rgb="FF00B050"/>
      </bottom>
      <diagonal/>
    </border>
    <border>
      <left style="thin">
        <color rgb="FF00B050"/>
      </left>
      <right style="thin">
        <color rgb="FF00B050"/>
      </right>
      <top/>
      <bottom style="hair">
        <color rgb="FF00B050"/>
      </bottom>
      <diagonal/>
    </border>
    <border>
      <left style="thin">
        <color rgb="FF00B050"/>
      </left>
      <right style="medium">
        <color rgb="FF00B050"/>
      </right>
      <top/>
      <bottom style="hair">
        <color rgb="FF00B050"/>
      </bottom>
      <diagonal/>
    </border>
    <border>
      <left style="medium">
        <color rgb="FF00B050"/>
      </left>
      <right style="thin">
        <color rgb="FF00B050"/>
      </right>
      <top style="medium">
        <color rgb="FF00B050"/>
      </top>
      <bottom style="thin">
        <color rgb="FF00B050"/>
      </bottom>
      <diagonal/>
    </border>
    <border>
      <left style="thin">
        <color rgb="FF00B050"/>
      </left>
      <right style="thin">
        <color rgb="FF00B050"/>
      </right>
      <top style="medium">
        <color rgb="FF00B050"/>
      </top>
      <bottom style="thin">
        <color rgb="FF00B050"/>
      </bottom>
      <diagonal/>
    </border>
    <border>
      <left style="thin">
        <color rgb="FF00B050"/>
      </left>
      <right style="medium">
        <color rgb="FF00B050"/>
      </right>
      <top style="medium">
        <color rgb="FF00B050"/>
      </top>
      <bottom style="thin">
        <color rgb="FF00B050"/>
      </bottom>
      <diagonal/>
    </border>
    <border>
      <left style="medium">
        <color rgb="FFC00000"/>
      </left>
      <right style="thin">
        <color rgb="FFC00000"/>
      </right>
      <top/>
      <bottom style="hair">
        <color rgb="FFC00000"/>
      </bottom>
      <diagonal/>
    </border>
    <border>
      <left style="medium">
        <color rgb="FFC00000"/>
      </left>
      <right style="thin">
        <color rgb="FFC00000"/>
      </right>
      <top style="medium">
        <color rgb="FFC00000"/>
      </top>
      <bottom style="thin">
        <color rgb="FFC00000"/>
      </bottom>
      <diagonal/>
    </border>
    <border>
      <left style="thin">
        <color rgb="FFC00000"/>
      </left>
      <right style="thin">
        <color rgb="FFC00000"/>
      </right>
      <top style="medium">
        <color rgb="FFC00000"/>
      </top>
      <bottom style="thin">
        <color rgb="FFC00000"/>
      </bottom>
      <diagonal/>
    </border>
    <border>
      <left style="thin">
        <color rgb="FFC00000"/>
      </left>
      <right style="medium">
        <color rgb="FFC00000"/>
      </right>
      <top style="medium">
        <color rgb="FFC00000"/>
      </top>
      <bottom style="thin">
        <color rgb="FFC00000"/>
      </bottom>
      <diagonal/>
    </border>
    <border>
      <left style="thin">
        <color rgb="FFC00000"/>
      </left>
      <right style="thin">
        <color rgb="FFC00000"/>
      </right>
      <top style="thin">
        <color rgb="FFC00000"/>
      </top>
      <bottom style="hair">
        <color rgb="FFC00000"/>
      </bottom>
      <diagonal/>
    </border>
    <border>
      <left style="thin">
        <color rgb="FFC00000"/>
      </left>
      <right style="medium">
        <color rgb="FFC00000"/>
      </right>
      <top style="thin">
        <color rgb="FFC00000"/>
      </top>
      <bottom style="hair">
        <color rgb="FFC00000"/>
      </bottom>
      <diagonal/>
    </border>
    <border>
      <left style="medium">
        <color rgb="FF0070C0"/>
      </left>
      <right style="thin">
        <color rgb="FF0070C0"/>
      </right>
      <top/>
      <bottom style="hair">
        <color rgb="FF0070C0"/>
      </bottom>
      <diagonal/>
    </border>
    <border>
      <left style="medium">
        <color rgb="FF0070C0"/>
      </left>
      <right style="thin">
        <color rgb="FF0070C0"/>
      </right>
      <top style="medium">
        <color rgb="FF0070C0"/>
      </top>
      <bottom style="thin">
        <color rgb="FF0070C0"/>
      </bottom>
      <diagonal/>
    </border>
    <border>
      <left style="thin">
        <color rgb="FF0070C0"/>
      </left>
      <right style="thin">
        <color rgb="FF0070C0"/>
      </right>
      <top style="medium">
        <color rgb="FF0070C0"/>
      </top>
      <bottom style="thin">
        <color rgb="FF0070C0"/>
      </bottom>
      <diagonal/>
    </border>
    <border>
      <left style="thin">
        <color rgb="FF0070C0"/>
      </left>
      <right style="medium">
        <color rgb="FF0070C0"/>
      </right>
      <top style="medium">
        <color rgb="FF0070C0"/>
      </top>
      <bottom style="thin">
        <color rgb="FF0070C0"/>
      </bottom>
      <diagonal/>
    </border>
    <border>
      <left style="medium">
        <color rgb="FF0070C0"/>
      </left>
      <right/>
      <top style="thin">
        <color rgb="FF0070C0"/>
      </top>
      <bottom style="hair">
        <color rgb="FF0070C0"/>
      </bottom>
      <diagonal/>
    </border>
    <border>
      <left/>
      <right/>
      <top style="thin">
        <color rgb="FF0070C0"/>
      </top>
      <bottom style="hair">
        <color rgb="FF0070C0"/>
      </bottom>
      <diagonal/>
    </border>
    <border>
      <left/>
      <right style="medium">
        <color rgb="FF0070C0"/>
      </right>
      <top style="thin">
        <color rgb="FF0070C0"/>
      </top>
      <bottom style="hair">
        <color rgb="FF0070C0"/>
      </bottom>
      <diagonal/>
    </border>
    <border>
      <left/>
      <right style="medium">
        <color rgb="FF0070C0"/>
      </right>
      <top style="medium">
        <color rgb="FF0070C0"/>
      </top>
      <bottom style="thin">
        <color rgb="FF0070C0"/>
      </bottom>
      <diagonal/>
    </border>
    <border>
      <left/>
      <right style="medium">
        <color rgb="FF0070C0"/>
      </right>
      <top style="hair">
        <color rgb="FF0070C0"/>
      </top>
      <bottom style="medium">
        <color rgb="FF0070C0"/>
      </bottom>
      <diagonal/>
    </border>
    <border>
      <left style="medium">
        <color rgb="FF0070C0"/>
      </left>
      <right/>
      <top style="medium">
        <color rgb="FF0070C0"/>
      </top>
      <bottom style="thin">
        <color rgb="FF0070C0"/>
      </bottom>
      <diagonal/>
    </border>
    <border>
      <left/>
      <right/>
      <top style="medium">
        <color rgb="FF0070C0"/>
      </top>
      <bottom style="thin">
        <color rgb="FF0070C0"/>
      </bottom>
      <diagonal/>
    </border>
    <border>
      <left/>
      <right style="thin">
        <color rgb="FF0070C0"/>
      </right>
      <top style="medium">
        <color rgb="FF0070C0"/>
      </top>
      <bottom style="thin">
        <color rgb="FF0070C0"/>
      </bottom>
      <diagonal/>
    </border>
    <border>
      <left/>
      <right style="thin">
        <color rgb="FF0070C0"/>
      </right>
      <top style="thin">
        <color rgb="FF0070C0"/>
      </top>
      <bottom style="hair">
        <color rgb="FF0070C0"/>
      </bottom>
      <diagonal/>
    </border>
    <border>
      <left/>
      <right/>
      <top style="hair">
        <color rgb="FF00B050"/>
      </top>
      <bottom style="hair">
        <color rgb="FF00B050"/>
      </bottom>
      <diagonal/>
    </border>
    <border>
      <left style="thin">
        <color rgb="FF00B050"/>
      </left>
      <right style="thin">
        <color rgb="FF00B050"/>
      </right>
      <top style="hair">
        <color rgb="FF00B050"/>
      </top>
      <bottom style="hair">
        <color rgb="FF00B050"/>
      </bottom>
      <diagonal/>
    </border>
    <border>
      <left/>
      <right/>
      <top style="hair">
        <color rgb="FFFF0000"/>
      </top>
      <bottom style="hair">
        <color rgb="FFFF0000"/>
      </bottom>
      <diagonal/>
    </border>
    <border>
      <left style="thin">
        <color rgb="FFFF0000"/>
      </left>
      <right style="thin">
        <color rgb="FFFF0000"/>
      </right>
      <top style="hair">
        <color rgb="FFFF0000"/>
      </top>
      <bottom style="hair">
        <color rgb="FFFF0000"/>
      </bottom>
      <diagonal/>
    </border>
    <border>
      <left/>
      <right/>
      <top style="hair">
        <color theme="1" tint="0.499984740745262"/>
      </top>
      <bottom style="hair">
        <color theme="1" tint="0.499984740745262"/>
      </bottom>
      <diagonal/>
    </border>
    <border>
      <left/>
      <right/>
      <top style="hair">
        <color theme="1" tint="0.499984740745262"/>
      </top>
      <bottom style="thin">
        <color theme="1" tint="0.499984740745262"/>
      </bottom>
      <diagonal/>
    </border>
    <border>
      <left/>
      <right/>
      <top style="hair">
        <color theme="1" tint="0.499984740745262"/>
      </top>
      <bottom/>
      <diagonal/>
    </border>
    <border>
      <left style="thin">
        <color rgb="FF00B050"/>
      </left>
      <right style="thin">
        <color rgb="FF00B050"/>
      </right>
      <top style="thin">
        <color rgb="FF00B050"/>
      </top>
      <bottom style="thin">
        <color rgb="FF00B050"/>
      </bottom>
      <diagonal/>
    </border>
    <border>
      <left/>
      <right/>
      <top style="thin">
        <color rgb="FF00B050"/>
      </top>
      <bottom style="hair">
        <color rgb="FF00B050"/>
      </bottom>
      <diagonal/>
    </border>
    <border>
      <left style="thin">
        <color rgb="FF00B050"/>
      </left>
      <right style="thin">
        <color rgb="FF00B050"/>
      </right>
      <top style="thin">
        <color rgb="FF00B050"/>
      </top>
      <bottom style="hair">
        <color rgb="FF00B050"/>
      </bottom>
      <diagonal/>
    </border>
    <border>
      <left/>
      <right style="thin">
        <color rgb="FF00B050"/>
      </right>
      <top style="thin">
        <color rgb="FF00B050"/>
      </top>
      <bottom style="hair">
        <color rgb="FF00B050"/>
      </bottom>
      <diagonal/>
    </border>
    <border>
      <left style="thin">
        <color rgb="FF00B050"/>
      </left>
      <right/>
      <top/>
      <bottom style="hair">
        <color rgb="FF00B050"/>
      </bottom>
      <diagonal/>
    </border>
    <border>
      <left/>
      <right style="thin">
        <color rgb="FF00B050"/>
      </right>
      <top style="hair">
        <color rgb="FF00B050"/>
      </top>
      <bottom style="hair">
        <color rgb="FF00B050"/>
      </bottom>
      <diagonal/>
    </border>
    <border>
      <left style="thin">
        <color rgb="FF00B050"/>
      </left>
      <right/>
      <top style="hair">
        <color rgb="FF00B050"/>
      </top>
      <bottom style="thin">
        <color rgb="FF00B050"/>
      </bottom>
      <diagonal/>
    </border>
    <border>
      <left/>
      <right/>
      <top style="hair">
        <color rgb="FF00B050"/>
      </top>
      <bottom style="thin">
        <color rgb="FF00B050"/>
      </bottom>
      <diagonal/>
    </border>
    <border>
      <left style="thin">
        <color rgb="FF00B050"/>
      </left>
      <right style="thin">
        <color rgb="FF00B050"/>
      </right>
      <top style="hair">
        <color rgb="FF00B050"/>
      </top>
      <bottom style="thin">
        <color rgb="FF00B050"/>
      </bottom>
      <diagonal/>
    </border>
    <border>
      <left/>
      <right style="thin">
        <color rgb="FF00B050"/>
      </right>
      <top style="hair">
        <color rgb="FF00B050"/>
      </top>
      <bottom style="thin">
        <color rgb="FF00B05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hair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hair">
        <color rgb="FFFF0000"/>
      </bottom>
      <diagonal/>
    </border>
    <border>
      <left/>
      <right style="thin">
        <color rgb="FFFF0000"/>
      </right>
      <top style="thin">
        <color rgb="FFFF0000"/>
      </top>
      <bottom style="hair">
        <color rgb="FFFF0000"/>
      </bottom>
      <diagonal/>
    </border>
    <border>
      <left style="thin">
        <color rgb="FFFF0000"/>
      </left>
      <right/>
      <top style="thin">
        <color rgb="FFFF0000"/>
      </top>
      <bottom style="hair">
        <color rgb="FFFF0000"/>
      </bottom>
      <diagonal/>
    </border>
    <border>
      <left/>
      <right style="thin">
        <color rgb="FFFF0000"/>
      </right>
      <top style="hair">
        <color rgb="FFFF0000"/>
      </top>
      <bottom style="hair">
        <color rgb="FFFF0000"/>
      </bottom>
      <diagonal/>
    </border>
    <border>
      <left style="thin">
        <color rgb="FFFF0000"/>
      </left>
      <right/>
      <top style="hair">
        <color rgb="FFFF0000"/>
      </top>
      <bottom style="thin">
        <color rgb="FFFF0000"/>
      </bottom>
      <diagonal/>
    </border>
    <border>
      <left/>
      <right/>
      <top style="hair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hair">
        <color rgb="FFFF0000"/>
      </top>
      <bottom style="thin">
        <color rgb="FFFF0000"/>
      </bottom>
      <diagonal/>
    </border>
    <border>
      <left/>
      <right style="thin">
        <color rgb="FFFF0000"/>
      </right>
      <top style="hair">
        <color rgb="FFFF0000"/>
      </top>
      <bottom style="thin">
        <color rgb="FFFF0000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hair">
        <color theme="1" tint="0.499984740745262"/>
      </bottom>
      <diagonal/>
    </border>
    <border>
      <left/>
      <right/>
      <top style="thin">
        <color theme="1" tint="0.499984740745262"/>
      </top>
      <bottom style="hair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hair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hair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hair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 style="hair">
        <color theme="1" tint="0.499984740745262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hair">
        <color theme="1" tint="0.499984740745262"/>
      </top>
      <bottom style="hair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hair">
        <color theme="1" tint="0.499984740745262"/>
      </top>
      <bottom style="hair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hair">
        <color theme="1" tint="0.499984740745262"/>
      </bottom>
      <diagonal/>
    </border>
    <border>
      <left/>
      <right/>
      <top/>
      <bottom style="hair">
        <color theme="1" tint="0.499984740745262"/>
      </bottom>
      <diagonal/>
    </border>
    <border>
      <left/>
      <right style="thin">
        <color theme="1" tint="0.499984740745262"/>
      </right>
      <top/>
      <bottom style="hair">
        <color theme="1" tint="0.499984740745262"/>
      </bottom>
      <diagonal/>
    </border>
    <border>
      <left/>
      <right style="thin">
        <color theme="0" tint="-0.34998626667073579"/>
      </right>
      <top style="medium">
        <color theme="0" tint="-0.34998626667073579"/>
      </top>
      <bottom style="hair">
        <color theme="0" tint="-0.34998626667073579"/>
      </bottom>
      <diagonal/>
    </border>
    <border>
      <left/>
      <right style="thin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/>
      <right style="thin">
        <color theme="0" tint="-0.34998626667073579"/>
      </right>
      <top style="hair">
        <color theme="0" tint="-0.34998626667073579"/>
      </top>
      <bottom style="medium">
        <color theme="0" tint="-0.3499862666707357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C00000"/>
      </left>
      <right/>
      <top style="hair">
        <color rgb="FFC00000"/>
      </top>
      <bottom style="medium">
        <color rgb="FFC00000"/>
      </bottom>
      <diagonal/>
    </border>
    <border>
      <left/>
      <right style="thin">
        <color rgb="FFC00000"/>
      </right>
      <top style="hair">
        <color rgb="FFC00000"/>
      </top>
      <bottom style="medium">
        <color rgb="FFC00000"/>
      </bottom>
      <diagonal/>
    </border>
  </borders>
  <cellStyleXfs count="17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54">
    <xf numFmtId="0" fontId="0" fillId="0" borderId="0" xfId="0"/>
    <xf numFmtId="0" fontId="7" fillId="0" borderId="0" xfId="0" applyFont="1" applyProtection="1">
      <protection hidden="1"/>
    </xf>
    <xf numFmtId="0" fontId="7" fillId="0" borderId="0" xfId="0" applyFont="1" applyAlignment="1" applyProtection="1">
      <alignment horizontal="center"/>
      <protection hidden="1"/>
    </xf>
    <xf numFmtId="0" fontId="0" fillId="0" borderId="0" xfId="0" applyProtection="1">
      <protection hidden="1"/>
    </xf>
    <xf numFmtId="0" fontId="4" fillId="0" borderId="0" xfId="0" applyFont="1" applyProtection="1">
      <protection hidden="1"/>
    </xf>
    <xf numFmtId="164" fontId="0" fillId="0" borderId="0" xfId="0" applyNumberFormat="1" applyProtection="1">
      <protection hidden="1"/>
    </xf>
    <xf numFmtId="0" fontId="0" fillId="0" borderId="0" xfId="0" applyAlignment="1" applyProtection="1">
      <alignment vertical="center"/>
      <protection hidden="1"/>
    </xf>
    <xf numFmtId="16" fontId="7" fillId="0" borderId="0" xfId="0" applyNumberFormat="1" applyFont="1" applyProtection="1">
      <protection hidden="1"/>
    </xf>
    <xf numFmtId="0" fontId="7" fillId="0" borderId="0" xfId="0" applyFont="1" applyAlignment="1" applyProtection="1">
      <alignment horizontal="right" vertical="center"/>
      <protection hidden="1"/>
    </xf>
    <xf numFmtId="0" fontId="7" fillId="0" borderId="0" xfId="0" applyFont="1" applyAlignment="1" applyProtection="1">
      <alignment vertical="center"/>
      <protection hidden="1"/>
    </xf>
    <xf numFmtId="0" fontId="12" fillId="0" borderId="0" xfId="0" applyFont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8" fillId="0" borderId="0" xfId="0" applyFont="1" applyAlignment="1" applyProtection="1">
      <alignment horizontal="right" vertical="center"/>
      <protection hidden="1"/>
    </xf>
    <xf numFmtId="0" fontId="5" fillId="0" borderId="0" xfId="0" applyFont="1" applyProtection="1">
      <protection hidden="1"/>
    </xf>
    <xf numFmtId="167" fontId="12" fillId="0" borderId="0" xfId="0" applyNumberFormat="1" applyFont="1" applyAlignment="1" applyProtection="1">
      <alignment horizontal="left" vertic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21" fillId="0" borderId="0" xfId="0" applyFont="1" applyProtection="1">
      <protection hidden="1"/>
    </xf>
    <xf numFmtId="0" fontId="22" fillId="0" borderId="0" xfId="0" applyFont="1" applyProtection="1">
      <protection hidden="1"/>
    </xf>
    <xf numFmtId="0" fontId="0" fillId="0" borderId="0" xfId="0" applyAlignment="1">
      <alignment horizontal="left"/>
    </xf>
    <xf numFmtId="0" fontId="0" fillId="0" borderId="0" xfId="0" applyAlignment="1" applyProtection="1">
      <alignment horizontal="left" vertical="center"/>
      <protection hidden="1"/>
    </xf>
    <xf numFmtId="0" fontId="20" fillId="0" borderId="0" xfId="0" applyFont="1" applyProtection="1">
      <protection hidden="1"/>
    </xf>
    <xf numFmtId="0" fontId="0" fillId="0" borderId="0" xfId="0" applyAlignment="1" applyProtection="1">
      <alignment horizontal="center" vertical="center"/>
      <protection hidden="1"/>
    </xf>
    <xf numFmtId="0" fontId="3" fillId="0" borderId="0" xfId="0" applyFont="1" applyAlignment="1" applyProtection="1">
      <alignment vertical="top"/>
      <protection hidden="1"/>
    </xf>
    <xf numFmtId="173" fontId="5" fillId="0" borderId="30" xfId="0" applyNumberFormat="1" applyFont="1" applyBorder="1" applyAlignment="1" applyProtection="1">
      <alignment horizontal="center" vertical="center"/>
      <protection hidden="1"/>
    </xf>
    <xf numFmtId="0" fontId="5" fillId="0" borderId="30" xfId="0" applyFont="1" applyBorder="1" applyAlignment="1" applyProtection="1">
      <alignment vertical="center"/>
      <protection hidden="1"/>
    </xf>
    <xf numFmtId="0" fontId="5" fillId="0" borderId="31" xfId="0" applyFont="1" applyBorder="1" applyAlignment="1" applyProtection="1">
      <alignment vertical="center"/>
      <protection hidden="1"/>
    </xf>
    <xf numFmtId="166" fontId="5" fillId="0" borderId="0" xfId="0" applyNumberFormat="1" applyFont="1" applyAlignment="1" applyProtection="1">
      <alignment horizontal="center" vertical="center"/>
      <protection hidden="1"/>
    </xf>
    <xf numFmtId="0" fontId="5" fillId="0" borderId="0" xfId="0" applyFont="1" applyAlignment="1" applyProtection="1">
      <alignment vertical="center"/>
      <protection hidden="1"/>
    </xf>
    <xf numFmtId="0" fontId="5" fillId="0" borderId="33" xfId="0" applyFont="1" applyBorder="1" applyAlignment="1" applyProtection="1">
      <alignment horizontal="center" vertical="center"/>
      <protection hidden="1"/>
    </xf>
    <xf numFmtId="166" fontId="5" fillId="0" borderId="0" xfId="0" applyNumberFormat="1" applyFont="1" applyAlignment="1" applyProtection="1">
      <alignment horizontal="left" vertical="center"/>
      <protection hidden="1"/>
    </xf>
    <xf numFmtId="174" fontId="5" fillId="0" borderId="33" xfId="0" applyNumberFormat="1" applyFont="1" applyBorder="1" applyAlignment="1" applyProtection="1">
      <alignment horizontal="center" vertical="center"/>
      <protection hidden="1"/>
    </xf>
    <xf numFmtId="166" fontId="0" fillId="0" borderId="0" xfId="0" applyNumberFormat="1" applyProtection="1">
      <protection hidden="1"/>
    </xf>
    <xf numFmtId="0" fontId="5" fillId="0" borderId="32" xfId="0" applyFont="1" applyBorder="1" applyProtection="1">
      <protection hidden="1"/>
    </xf>
    <xf numFmtId="0" fontId="5" fillId="0" borderId="0" xfId="0" applyFont="1" applyAlignment="1" applyProtection="1">
      <alignment horizontal="right"/>
      <protection hidden="1"/>
    </xf>
    <xf numFmtId="172" fontId="5" fillId="0" borderId="0" xfId="0" applyNumberFormat="1" applyFont="1" applyAlignment="1" applyProtection="1">
      <alignment horizontal="center" vertical="center"/>
      <protection hidden="1"/>
    </xf>
    <xf numFmtId="0" fontId="5" fillId="0" borderId="33" xfId="0" applyFont="1" applyBorder="1" applyProtection="1">
      <protection hidden="1"/>
    </xf>
    <xf numFmtId="0" fontId="0" fillId="0" borderId="32" xfId="0" applyBorder="1" applyProtection="1">
      <protection hidden="1"/>
    </xf>
    <xf numFmtId="0" fontId="0" fillId="0" borderId="0" xfId="0" applyAlignment="1" applyProtection="1">
      <alignment horizontal="right"/>
      <protection hidden="1"/>
    </xf>
    <xf numFmtId="0" fontId="0" fillId="0" borderId="33" xfId="0" applyBorder="1" applyProtection="1">
      <protection hidden="1"/>
    </xf>
    <xf numFmtId="0" fontId="0" fillId="0" borderId="34" xfId="0" applyBorder="1" applyProtection="1">
      <protection hidden="1"/>
    </xf>
    <xf numFmtId="0" fontId="0" fillId="0" borderId="35" xfId="0" applyBorder="1" applyProtection="1">
      <protection hidden="1"/>
    </xf>
    <xf numFmtId="0" fontId="0" fillId="0" borderId="35" xfId="0" applyBorder="1" applyAlignment="1" applyProtection="1">
      <alignment horizontal="right"/>
      <protection hidden="1"/>
    </xf>
    <xf numFmtId="0" fontId="0" fillId="0" borderId="35" xfId="0" applyBorder="1" applyAlignment="1" applyProtection="1">
      <alignment horizontal="center"/>
      <protection hidden="1"/>
    </xf>
    <xf numFmtId="0" fontId="0" fillId="0" borderId="36" xfId="0" applyBorder="1" applyProtection="1">
      <protection hidden="1"/>
    </xf>
    <xf numFmtId="0" fontId="26" fillId="0" borderId="37" xfId="0" applyFont="1" applyBorder="1" applyAlignment="1" applyProtection="1">
      <alignment horizontal="center"/>
      <protection hidden="1"/>
    </xf>
    <xf numFmtId="0" fontId="27" fillId="0" borderId="38" xfId="0" applyFont="1" applyBorder="1" applyAlignment="1" applyProtection="1">
      <alignment horizontal="center"/>
      <protection hidden="1"/>
    </xf>
    <xf numFmtId="0" fontId="28" fillId="0" borderId="38" xfId="0" applyFont="1" applyBorder="1" applyAlignment="1" applyProtection="1">
      <alignment horizontal="center"/>
      <protection hidden="1"/>
    </xf>
    <xf numFmtId="0" fontId="26" fillId="0" borderId="38" xfId="0" applyFont="1" applyBorder="1" applyAlignment="1" applyProtection="1">
      <alignment horizontal="center"/>
      <protection hidden="1"/>
    </xf>
    <xf numFmtId="180" fontId="5" fillId="0" borderId="40" xfId="0" applyNumberFormat="1" applyFont="1" applyBorder="1" applyAlignment="1" applyProtection="1">
      <alignment horizontal="center"/>
      <protection hidden="1"/>
    </xf>
    <xf numFmtId="2" fontId="0" fillId="0" borderId="41" xfId="0" applyNumberFormat="1" applyBorder="1" applyAlignment="1" applyProtection="1">
      <alignment horizontal="center"/>
      <protection hidden="1"/>
    </xf>
    <xf numFmtId="2" fontId="30" fillId="0" borderId="41" xfId="0" applyNumberFormat="1" applyFont="1" applyBorder="1" applyAlignment="1" applyProtection="1">
      <alignment horizontal="center"/>
      <protection hidden="1"/>
    </xf>
    <xf numFmtId="2" fontId="24" fillId="0" borderId="41" xfId="0" applyNumberFormat="1" applyFont="1" applyBorder="1" applyAlignment="1" applyProtection="1">
      <alignment horizontal="center"/>
      <protection hidden="1"/>
    </xf>
    <xf numFmtId="2" fontId="31" fillId="3" borderId="41" xfId="0" applyNumberFormat="1" applyFont="1" applyFill="1" applyBorder="1" applyAlignment="1" applyProtection="1">
      <alignment horizontal="center"/>
      <protection hidden="1"/>
    </xf>
    <xf numFmtId="0" fontId="0" fillId="0" borderId="42" xfId="0" applyBorder="1" applyProtection="1">
      <protection hidden="1"/>
    </xf>
    <xf numFmtId="180" fontId="6" fillId="0" borderId="43" xfId="0" applyNumberFormat="1" applyFont="1" applyBorder="1" applyAlignment="1" applyProtection="1">
      <alignment horizontal="center"/>
      <protection hidden="1"/>
    </xf>
    <xf numFmtId="2" fontId="6" fillId="0" borderId="44" xfId="0" applyNumberFormat="1" applyFont="1" applyBorder="1" applyAlignment="1" applyProtection="1">
      <alignment horizontal="center"/>
      <protection hidden="1"/>
    </xf>
    <xf numFmtId="2" fontId="32" fillId="0" borderId="44" xfId="0" applyNumberFormat="1" applyFont="1" applyBorder="1" applyAlignment="1" applyProtection="1">
      <alignment horizontal="center"/>
      <protection hidden="1"/>
    </xf>
    <xf numFmtId="2" fontId="33" fillId="0" borderId="44" xfId="0" applyNumberFormat="1" applyFont="1" applyBorder="1" applyAlignment="1" applyProtection="1">
      <alignment horizontal="center"/>
      <protection hidden="1"/>
    </xf>
    <xf numFmtId="2" fontId="34" fillId="3" borderId="44" xfId="0" applyNumberFormat="1" applyFont="1" applyFill="1" applyBorder="1" applyAlignment="1" applyProtection="1">
      <alignment horizontal="center"/>
      <protection hidden="1"/>
    </xf>
    <xf numFmtId="0" fontId="0" fillId="0" borderId="45" xfId="0" applyBorder="1" applyProtection="1">
      <protection hidden="1"/>
    </xf>
    <xf numFmtId="180" fontId="13" fillId="2" borderId="43" xfId="0" applyNumberFormat="1" applyFont="1" applyFill="1" applyBorder="1" applyAlignment="1" applyProtection="1">
      <alignment horizontal="center"/>
      <protection hidden="1"/>
    </xf>
    <xf numFmtId="2" fontId="6" fillId="2" borderId="44" xfId="0" applyNumberFormat="1" applyFont="1" applyFill="1" applyBorder="1" applyAlignment="1" applyProtection="1">
      <alignment horizontal="center"/>
      <protection hidden="1"/>
    </xf>
    <xf numFmtId="2" fontId="32" fillId="2" borderId="44" xfId="0" applyNumberFormat="1" applyFont="1" applyFill="1" applyBorder="1" applyAlignment="1" applyProtection="1">
      <alignment horizontal="center"/>
      <protection hidden="1"/>
    </xf>
    <xf numFmtId="2" fontId="33" fillId="2" borderId="44" xfId="0" applyNumberFormat="1" applyFont="1" applyFill="1" applyBorder="1" applyAlignment="1" applyProtection="1">
      <alignment horizontal="center"/>
      <protection hidden="1"/>
    </xf>
    <xf numFmtId="2" fontId="34" fillId="2" borderId="44" xfId="0" applyNumberFormat="1" applyFont="1" applyFill="1" applyBorder="1" applyAlignment="1" applyProtection="1">
      <alignment horizontal="center"/>
      <protection hidden="1"/>
    </xf>
    <xf numFmtId="0" fontId="0" fillId="0" borderId="46" xfId="0" applyBorder="1" applyProtection="1">
      <protection hidden="1"/>
    </xf>
    <xf numFmtId="180" fontId="6" fillId="0" borderId="40" xfId="0" applyNumberFormat="1" applyFont="1" applyBorder="1" applyAlignment="1" applyProtection="1">
      <alignment horizontal="center"/>
      <protection hidden="1"/>
    </xf>
    <xf numFmtId="181" fontId="6" fillId="0" borderId="41" xfId="0" applyNumberFormat="1" applyFont="1" applyBorder="1" applyAlignment="1" applyProtection="1">
      <alignment horizontal="center"/>
      <protection hidden="1"/>
    </xf>
    <xf numFmtId="0" fontId="6" fillId="0" borderId="41" xfId="0" applyFont="1" applyBorder="1" applyAlignment="1" applyProtection="1">
      <alignment horizontal="center"/>
      <protection hidden="1"/>
    </xf>
    <xf numFmtId="2" fontId="6" fillId="0" borderId="41" xfId="0" applyNumberFormat="1" applyFont="1" applyBorder="1" applyAlignment="1" applyProtection="1">
      <alignment horizontal="center"/>
      <protection hidden="1"/>
    </xf>
    <xf numFmtId="0" fontId="32" fillId="0" borderId="41" xfId="0" applyFont="1" applyBorder="1" applyAlignment="1" applyProtection="1">
      <alignment horizontal="center"/>
      <protection hidden="1"/>
    </xf>
    <xf numFmtId="0" fontId="33" fillId="0" borderId="41" xfId="0" applyFont="1" applyBorder="1" applyAlignment="1" applyProtection="1">
      <alignment horizontal="center"/>
      <protection hidden="1"/>
    </xf>
    <xf numFmtId="0" fontId="0" fillId="3" borderId="41" xfId="0" applyFill="1" applyBorder="1" applyProtection="1">
      <protection hidden="1"/>
    </xf>
    <xf numFmtId="2" fontId="35" fillId="0" borderId="42" xfId="0" applyNumberFormat="1" applyFont="1" applyBorder="1" applyAlignment="1" applyProtection="1">
      <alignment horizontal="center"/>
      <protection hidden="1"/>
    </xf>
    <xf numFmtId="180" fontId="6" fillId="0" borderId="47" xfId="0" applyNumberFormat="1" applyFont="1" applyBorder="1" applyAlignment="1" applyProtection="1">
      <alignment horizontal="center"/>
      <protection hidden="1"/>
    </xf>
    <xf numFmtId="0" fontId="6" fillId="0" borderId="48" xfId="0" applyFont="1" applyBorder="1" applyAlignment="1" applyProtection="1">
      <alignment horizontal="center"/>
      <protection hidden="1"/>
    </xf>
    <xf numFmtId="2" fontId="6" fillId="0" borderId="48" xfId="0" applyNumberFormat="1" applyFont="1" applyBorder="1" applyAlignment="1" applyProtection="1">
      <alignment horizontal="center"/>
      <protection hidden="1"/>
    </xf>
    <xf numFmtId="0" fontId="32" fillId="0" borderId="48" xfId="0" applyFont="1" applyBorder="1" applyAlignment="1" applyProtection="1">
      <alignment horizontal="center"/>
      <protection hidden="1"/>
    </xf>
    <xf numFmtId="0" fontId="33" fillId="0" borderId="48" xfId="0" applyFont="1" applyBorder="1" applyAlignment="1" applyProtection="1">
      <alignment horizontal="center"/>
      <protection hidden="1"/>
    </xf>
    <xf numFmtId="0" fontId="0" fillId="3" borderId="48" xfId="0" applyFill="1" applyBorder="1" applyProtection="1">
      <protection hidden="1"/>
    </xf>
    <xf numFmtId="2" fontId="35" fillId="0" borderId="49" xfId="0" applyNumberFormat="1" applyFont="1" applyBorder="1" applyAlignment="1" applyProtection="1">
      <alignment horizontal="center"/>
      <protection hidden="1"/>
    </xf>
    <xf numFmtId="0" fontId="15" fillId="0" borderId="38" xfId="0" applyFont="1" applyBorder="1" applyAlignment="1" applyProtection="1">
      <alignment horizontal="center" vertical="center"/>
      <protection hidden="1"/>
    </xf>
    <xf numFmtId="0" fontId="29" fillId="0" borderId="39" xfId="0" applyFont="1" applyBorder="1" applyAlignment="1" applyProtection="1">
      <alignment horizontal="center" vertical="center"/>
      <protection hidden="1"/>
    </xf>
    <xf numFmtId="0" fontId="9" fillId="2" borderId="51" xfId="0" applyFont="1" applyFill="1" applyBorder="1" applyAlignment="1" applyProtection="1">
      <alignment horizontal="center"/>
      <protection hidden="1"/>
    </xf>
    <xf numFmtId="0" fontId="40" fillId="0" borderId="4" xfId="0" applyFont="1" applyBorder="1" applyAlignment="1" applyProtection="1">
      <alignment horizontal="center"/>
      <protection hidden="1"/>
    </xf>
    <xf numFmtId="0" fontId="40" fillId="0" borderId="52" xfId="0" applyFont="1" applyBorder="1" applyAlignment="1" applyProtection="1">
      <alignment horizontal="center"/>
      <protection hidden="1"/>
    </xf>
    <xf numFmtId="0" fontId="5" fillId="0" borderId="50" xfId="0" applyFont="1" applyBorder="1" applyAlignment="1" applyProtection="1">
      <alignment horizontal="center" vertical="center"/>
      <protection hidden="1"/>
    </xf>
    <xf numFmtId="0" fontId="5" fillId="0" borderId="4" xfId="0" applyFont="1" applyBorder="1" applyAlignment="1" applyProtection="1">
      <alignment horizontal="center" vertical="center"/>
      <protection hidden="1"/>
    </xf>
    <xf numFmtId="0" fontId="40" fillId="0" borderId="4" xfId="0" applyFont="1" applyBorder="1" applyAlignment="1" applyProtection="1">
      <alignment horizontal="center" vertical="center"/>
      <protection hidden="1"/>
    </xf>
    <xf numFmtId="0" fontId="40" fillId="0" borderId="52" xfId="0" applyFont="1" applyBorder="1" applyAlignment="1" applyProtection="1">
      <alignment horizontal="center" vertical="center"/>
      <protection hidden="1"/>
    </xf>
    <xf numFmtId="0" fontId="7" fillId="0" borderId="53" xfId="0" applyFont="1" applyBorder="1" applyAlignment="1" applyProtection="1">
      <alignment horizontal="center" vertical="center"/>
      <protection hidden="1"/>
    </xf>
    <xf numFmtId="0" fontId="5" fillId="0" borderId="53" xfId="0" applyFont="1" applyBorder="1" applyAlignment="1" applyProtection="1">
      <alignment horizontal="center" vertical="center"/>
      <protection hidden="1"/>
    </xf>
    <xf numFmtId="0" fontId="5" fillId="0" borderId="16" xfId="0" applyFont="1" applyBorder="1" applyAlignment="1" applyProtection="1">
      <alignment horizontal="center" vertical="center"/>
      <protection hidden="1"/>
    </xf>
    <xf numFmtId="0" fontId="40" fillId="0" borderId="1" xfId="0" applyFont="1" applyBorder="1" applyAlignment="1" applyProtection="1">
      <alignment horizontal="center" vertical="center"/>
      <protection hidden="1"/>
    </xf>
    <xf numFmtId="0" fontId="5" fillId="0" borderId="12" xfId="0" applyFont="1" applyBorder="1" applyAlignment="1" applyProtection="1">
      <alignment horizontal="center" vertical="center"/>
      <protection hidden="1"/>
    </xf>
    <xf numFmtId="178" fontId="6" fillId="0" borderId="54" xfId="0" applyNumberFormat="1" applyFont="1" applyBorder="1" applyAlignment="1" applyProtection="1">
      <alignment horizontal="center" vertical="center"/>
      <protection hidden="1"/>
    </xf>
    <xf numFmtId="178" fontId="6" fillId="0" borderId="55" xfId="0" applyNumberFormat="1" applyFont="1" applyBorder="1" applyAlignment="1" applyProtection="1">
      <alignment horizontal="center" vertical="center"/>
      <protection hidden="1"/>
    </xf>
    <xf numFmtId="2" fontId="32" fillId="0" borderId="56" xfId="0" applyNumberFormat="1" applyFont="1" applyBorder="1" applyAlignment="1" applyProtection="1">
      <alignment horizontal="center"/>
      <protection hidden="1"/>
    </xf>
    <xf numFmtId="2" fontId="32" fillId="0" borderId="57" xfId="0" applyNumberFormat="1" applyFont="1" applyBorder="1" applyAlignment="1" applyProtection="1">
      <alignment horizontal="center"/>
      <protection hidden="1"/>
    </xf>
    <xf numFmtId="2" fontId="33" fillId="0" borderId="57" xfId="0" applyNumberFormat="1" applyFont="1" applyBorder="1" applyAlignment="1" applyProtection="1">
      <alignment horizontal="center"/>
      <protection hidden="1"/>
    </xf>
    <xf numFmtId="2" fontId="6" fillId="0" borderId="58" xfId="0" applyNumberFormat="1" applyFont="1" applyBorder="1" applyAlignment="1" applyProtection="1">
      <alignment horizontal="center" vertical="center"/>
      <protection hidden="1"/>
    </xf>
    <xf numFmtId="2" fontId="6" fillId="0" borderId="59" xfId="0" applyNumberFormat="1" applyFont="1" applyBorder="1" applyAlignment="1" applyProtection="1">
      <alignment horizontal="center" vertical="center"/>
      <protection hidden="1"/>
    </xf>
    <xf numFmtId="164" fontId="12" fillId="0" borderId="0" xfId="0" applyNumberFormat="1" applyFont="1" applyAlignment="1" applyProtection="1">
      <alignment horizontal="left" vertical="center"/>
      <protection hidden="1"/>
    </xf>
    <xf numFmtId="164" fontId="0" fillId="0" borderId="0" xfId="0" applyNumberFormat="1" applyAlignment="1" applyProtection="1">
      <alignment horizontal="center" vertical="center"/>
      <protection hidden="1"/>
    </xf>
    <xf numFmtId="164" fontId="0" fillId="0" borderId="58" xfId="0" applyNumberFormat="1" applyBorder="1" applyAlignment="1" applyProtection="1">
      <alignment horizontal="center" vertical="center"/>
      <protection hidden="1"/>
    </xf>
    <xf numFmtId="164" fontId="0" fillId="0" borderId="13" xfId="0" applyNumberFormat="1" applyBorder="1" applyAlignment="1" applyProtection="1">
      <alignment horizontal="center" vertical="center"/>
      <protection hidden="1"/>
    </xf>
    <xf numFmtId="0" fontId="0" fillId="0" borderId="13" xfId="0" applyBorder="1" applyProtection="1">
      <protection hidden="1"/>
    </xf>
    <xf numFmtId="178" fontId="7" fillId="0" borderId="16" xfId="0" applyNumberFormat="1" applyFont="1" applyBorder="1" applyAlignment="1" applyProtection="1">
      <alignment horizontal="center"/>
      <protection hidden="1"/>
    </xf>
    <xf numFmtId="164" fontId="0" fillId="2" borderId="60" xfId="0" applyNumberFormat="1" applyFill="1" applyBorder="1" applyAlignment="1" applyProtection="1">
      <alignment horizontal="center" vertical="center"/>
      <protection hidden="1"/>
    </xf>
    <xf numFmtId="164" fontId="0" fillId="2" borderId="61" xfId="0" applyNumberFormat="1" applyFill="1" applyBorder="1" applyAlignment="1" applyProtection="1">
      <alignment horizontal="center" vertical="center"/>
      <protection hidden="1"/>
    </xf>
    <xf numFmtId="0" fontId="0" fillId="2" borderId="61" xfId="0" applyFill="1" applyBorder="1" applyProtection="1">
      <protection hidden="1"/>
    </xf>
    <xf numFmtId="178" fontId="7" fillId="2" borderId="55" xfId="0" applyNumberFormat="1" applyFont="1" applyFill="1" applyBorder="1" applyAlignment="1" applyProtection="1">
      <alignment horizontal="center"/>
      <protection hidden="1"/>
    </xf>
    <xf numFmtId="164" fontId="0" fillId="0" borderId="60" xfId="0" applyNumberFormat="1" applyBorder="1" applyAlignment="1" applyProtection="1">
      <alignment horizontal="center" vertical="center"/>
      <protection hidden="1"/>
    </xf>
    <xf numFmtId="164" fontId="0" fillId="0" borderId="61" xfId="0" applyNumberFormat="1" applyBorder="1" applyAlignment="1" applyProtection="1">
      <alignment horizontal="center" vertical="center"/>
      <protection hidden="1"/>
    </xf>
    <xf numFmtId="0" fontId="0" fillId="0" borderId="61" xfId="0" applyBorder="1" applyProtection="1">
      <protection hidden="1"/>
    </xf>
    <xf numFmtId="178" fontId="7" fillId="0" borderId="55" xfId="0" applyNumberFormat="1" applyFont="1" applyBorder="1" applyAlignment="1" applyProtection="1">
      <alignment horizontal="center"/>
      <protection hidden="1"/>
    </xf>
    <xf numFmtId="0" fontId="0" fillId="0" borderId="60" xfId="0" applyBorder="1" applyProtection="1">
      <protection hidden="1"/>
    </xf>
    <xf numFmtId="0" fontId="0" fillId="2" borderId="60" xfId="0" applyFill="1" applyBorder="1" applyProtection="1">
      <protection hidden="1"/>
    </xf>
    <xf numFmtId="178" fontId="7" fillId="0" borderId="55" xfId="0" applyNumberFormat="1" applyFont="1" applyBorder="1" applyAlignment="1" applyProtection="1">
      <alignment horizontal="center" vertical="center"/>
      <protection hidden="1"/>
    </xf>
    <xf numFmtId="178" fontId="7" fillId="2" borderId="55" xfId="0" applyNumberFormat="1" applyFont="1" applyFill="1" applyBorder="1" applyAlignment="1" applyProtection="1">
      <alignment horizontal="center" vertical="center"/>
      <protection hidden="1"/>
    </xf>
    <xf numFmtId="164" fontId="0" fillId="0" borderId="60" xfId="0" applyNumberFormat="1" applyBorder="1" applyAlignment="1" applyProtection="1">
      <alignment vertical="center"/>
      <protection hidden="1"/>
    </xf>
    <xf numFmtId="164" fontId="0" fillId="0" borderId="61" xfId="0" applyNumberFormat="1" applyBorder="1" applyAlignment="1" applyProtection="1">
      <alignment vertical="center"/>
      <protection hidden="1"/>
    </xf>
    <xf numFmtId="0" fontId="7" fillId="0" borderId="55" xfId="0" applyFont="1" applyBorder="1" applyAlignment="1" applyProtection="1">
      <alignment horizontal="center" vertical="center"/>
      <protection hidden="1"/>
    </xf>
    <xf numFmtId="164" fontId="0" fillId="2" borderId="60" xfId="0" applyNumberFormat="1" applyFill="1" applyBorder="1" applyAlignment="1" applyProtection="1">
      <alignment vertical="center"/>
      <protection hidden="1"/>
    </xf>
    <xf numFmtId="164" fontId="0" fillId="2" borderId="61" xfId="0" applyNumberFormat="1" applyFill="1" applyBorder="1" applyAlignment="1" applyProtection="1">
      <alignment vertical="center"/>
      <protection hidden="1"/>
    </xf>
    <xf numFmtId="1" fontId="7" fillId="2" borderId="55" xfId="0" applyNumberFormat="1" applyFont="1" applyFill="1" applyBorder="1" applyAlignment="1" applyProtection="1">
      <alignment horizontal="center" vertical="center"/>
      <protection hidden="1"/>
    </xf>
    <xf numFmtId="1" fontId="7" fillId="0" borderId="55" xfId="0" applyNumberFormat="1" applyFont="1" applyBorder="1" applyAlignment="1" applyProtection="1">
      <alignment horizontal="center"/>
      <protection hidden="1"/>
    </xf>
    <xf numFmtId="164" fontId="0" fillId="2" borderId="59" xfId="0" applyNumberFormat="1" applyFill="1" applyBorder="1" applyAlignment="1" applyProtection="1">
      <alignment vertical="center"/>
      <protection hidden="1"/>
    </xf>
    <xf numFmtId="164" fontId="0" fillId="2" borderId="14" xfId="0" applyNumberFormat="1" applyFill="1" applyBorder="1" applyAlignment="1" applyProtection="1">
      <alignment vertical="center"/>
      <protection hidden="1"/>
    </xf>
    <xf numFmtId="0" fontId="0" fillId="2" borderId="14" xfId="0" applyFill="1" applyBorder="1" applyProtection="1">
      <protection hidden="1"/>
    </xf>
    <xf numFmtId="178" fontId="7" fillId="2" borderId="15" xfId="0" applyNumberFormat="1" applyFont="1" applyFill="1" applyBorder="1" applyAlignment="1" applyProtection="1">
      <alignment horizontal="center"/>
      <protection hidden="1"/>
    </xf>
    <xf numFmtId="2" fontId="6" fillId="0" borderId="62" xfId="0" applyNumberFormat="1" applyFont="1" applyBorder="1" applyAlignment="1" applyProtection="1">
      <alignment horizontal="center"/>
      <protection hidden="1"/>
    </xf>
    <xf numFmtId="2" fontId="6" fillId="0" borderId="21" xfId="0" applyNumberFormat="1" applyFont="1" applyBorder="1" applyAlignment="1" applyProtection="1">
      <alignment horizontal="center" vertical="center"/>
      <protection hidden="1"/>
    </xf>
    <xf numFmtId="178" fontId="6" fillId="0" borderId="64" xfId="0" applyNumberFormat="1" applyFont="1" applyBorder="1" applyAlignment="1" applyProtection="1">
      <alignment horizontal="center" vertical="center"/>
      <protection hidden="1"/>
    </xf>
    <xf numFmtId="178" fontId="6" fillId="0" borderId="65" xfId="0" applyNumberFormat="1" applyFont="1" applyBorder="1" applyAlignment="1" applyProtection="1">
      <alignment horizontal="center" vertical="center"/>
      <protection hidden="1"/>
    </xf>
    <xf numFmtId="2" fontId="32" fillId="0" borderId="66" xfId="0" applyNumberFormat="1" applyFont="1" applyBorder="1" applyAlignment="1" applyProtection="1">
      <alignment horizontal="center"/>
      <protection hidden="1"/>
    </xf>
    <xf numFmtId="2" fontId="32" fillId="0" borderId="67" xfId="0" applyNumberFormat="1" applyFont="1" applyBorder="1" applyAlignment="1" applyProtection="1">
      <alignment horizontal="center"/>
      <protection hidden="1"/>
    </xf>
    <xf numFmtId="2" fontId="33" fillId="0" borderId="67" xfId="0" applyNumberFormat="1" applyFont="1" applyBorder="1" applyAlignment="1" applyProtection="1">
      <alignment horizontal="center"/>
      <protection hidden="1"/>
    </xf>
    <xf numFmtId="0" fontId="0" fillId="0" borderId="63" xfId="0" applyBorder="1"/>
    <xf numFmtId="0" fontId="40" fillId="0" borderId="12" xfId="0" applyFont="1" applyBorder="1" applyAlignment="1" applyProtection="1">
      <alignment horizontal="center" vertical="center"/>
      <protection hidden="1"/>
    </xf>
    <xf numFmtId="178" fontId="6" fillId="2" borderId="68" xfId="0" applyNumberFormat="1" applyFont="1" applyFill="1" applyBorder="1" applyAlignment="1" applyProtection="1">
      <alignment horizontal="center" vertical="center"/>
      <protection hidden="1"/>
    </xf>
    <xf numFmtId="178" fontId="6" fillId="0" borderId="69" xfId="0" applyNumberFormat="1" applyFont="1" applyBorder="1" applyAlignment="1" applyProtection="1">
      <alignment horizontal="center" vertical="center"/>
      <protection hidden="1"/>
    </xf>
    <xf numFmtId="181" fontId="6" fillId="0" borderId="69" xfId="0" applyNumberFormat="1" applyFont="1" applyBorder="1" applyAlignment="1" applyProtection="1">
      <alignment horizontal="center" vertical="center"/>
      <protection hidden="1"/>
    </xf>
    <xf numFmtId="2" fontId="32" fillId="0" borderId="69" xfId="0" applyNumberFormat="1" applyFont="1" applyBorder="1" applyAlignment="1" applyProtection="1">
      <alignment horizontal="center"/>
      <protection hidden="1"/>
    </xf>
    <xf numFmtId="2" fontId="33" fillId="0" borderId="69" xfId="0" applyNumberFormat="1" applyFont="1" applyBorder="1" applyAlignment="1" applyProtection="1">
      <alignment horizontal="center"/>
      <protection hidden="1"/>
    </xf>
    <xf numFmtId="2" fontId="33" fillId="0" borderId="70" xfId="0" applyNumberFormat="1" applyFont="1" applyBorder="1" applyAlignment="1" applyProtection="1">
      <alignment horizontal="center"/>
      <protection hidden="1"/>
    </xf>
    <xf numFmtId="2" fontId="33" fillId="0" borderId="55" xfId="0" applyNumberFormat="1" applyFont="1" applyBorder="1" applyAlignment="1" applyProtection="1">
      <alignment horizontal="center"/>
      <protection hidden="1"/>
    </xf>
    <xf numFmtId="2" fontId="33" fillId="0" borderId="71" xfId="0" applyNumberFormat="1" applyFont="1" applyBorder="1" applyAlignment="1" applyProtection="1">
      <alignment horizontal="center"/>
      <protection hidden="1"/>
    </xf>
    <xf numFmtId="2" fontId="33" fillId="0" borderId="72" xfId="0" applyNumberFormat="1" applyFont="1" applyBorder="1" applyAlignment="1" applyProtection="1">
      <alignment horizontal="center"/>
      <protection hidden="1"/>
    </xf>
    <xf numFmtId="0" fontId="40" fillId="0" borderId="73" xfId="0" applyFont="1" applyBorder="1" applyAlignment="1" applyProtection="1">
      <alignment horizontal="center" vertical="center"/>
      <protection hidden="1"/>
    </xf>
    <xf numFmtId="0" fontId="40" fillId="0" borderId="74" xfId="0" applyFont="1" applyBorder="1" applyAlignment="1" applyProtection="1">
      <alignment horizontal="center" vertical="center"/>
      <protection hidden="1"/>
    </xf>
    <xf numFmtId="0" fontId="5" fillId="2" borderId="1" xfId="0" applyFont="1" applyFill="1" applyBorder="1" applyAlignment="1" applyProtection="1">
      <alignment horizontal="center" vertical="center"/>
      <protection hidden="1"/>
    </xf>
    <xf numFmtId="181" fontId="6" fillId="4" borderId="12" xfId="0" applyNumberFormat="1" applyFont="1" applyFill="1" applyBorder="1" applyAlignment="1" applyProtection="1">
      <alignment horizontal="center" vertical="center"/>
      <protection hidden="1"/>
    </xf>
    <xf numFmtId="178" fontId="6" fillId="2" borderId="56" xfId="0" applyNumberFormat="1" applyFont="1" applyFill="1" applyBorder="1" applyAlignment="1" applyProtection="1">
      <alignment horizontal="center" vertical="center"/>
      <protection hidden="1"/>
    </xf>
    <xf numFmtId="178" fontId="6" fillId="0" borderId="57" xfId="0" applyNumberFormat="1" applyFont="1" applyBorder="1" applyAlignment="1" applyProtection="1">
      <alignment horizontal="center" vertical="center"/>
      <protection hidden="1"/>
    </xf>
    <xf numFmtId="181" fontId="6" fillId="0" borderId="55" xfId="0" applyNumberFormat="1" applyFont="1" applyBorder="1" applyAlignment="1" applyProtection="1">
      <alignment horizontal="center" vertical="center"/>
      <protection hidden="1"/>
    </xf>
    <xf numFmtId="178" fontId="6" fillId="2" borderId="66" xfId="0" applyNumberFormat="1" applyFont="1" applyFill="1" applyBorder="1" applyAlignment="1" applyProtection="1">
      <alignment horizontal="center" vertical="center"/>
      <protection hidden="1"/>
    </xf>
    <xf numFmtId="178" fontId="6" fillId="0" borderId="67" xfId="0" applyNumberFormat="1" applyFont="1" applyBorder="1" applyAlignment="1" applyProtection="1">
      <alignment horizontal="center" vertical="center"/>
      <protection hidden="1"/>
    </xf>
    <xf numFmtId="181" fontId="6" fillId="0" borderId="65" xfId="0" applyNumberFormat="1" applyFont="1" applyBorder="1" applyAlignment="1" applyProtection="1">
      <alignment horizontal="center" vertical="center"/>
      <protection hidden="1"/>
    </xf>
    <xf numFmtId="181" fontId="0" fillId="0" borderId="56" xfId="0" applyNumberFormat="1" applyBorder="1" applyAlignment="1">
      <alignment horizontal="center"/>
    </xf>
    <xf numFmtId="181" fontId="0" fillId="0" borderId="57" xfId="0" applyNumberFormat="1" applyBorder="1" applyAlignment="1">
      <alignment horizontal="center"/>
    </xf>
    <xf numFmtId="181" fontId="0" fillId="0" borderId="55" xfId="0" applyNumberFormat="1" applyBorder="1" applyAlignment="1">
      <alignment horizontal="center"/>
    </xf>
    <xf numFmtId="181" fontId="0" fillId="0" borderId="2" xfId="0" applyNumberFormat="1" applyBorder="1" applyAlignment="1">
      <alignment horizontal="center"/>
    </xf>
    <xf numFmtId="181" fontId="0" fillId="0" borderId="3" xfId="0" applyNumberFormat="1" applyBorder="1" applyAlignment="1">
      <alignment horizontal="center"/>
    </xf>
    <xf numFmtId="181" fontId="0" fillId="0" borderId="67" xfId="0" applyNumberFormat="1" applyBorder="1" applyAlignment="1">
      <alignment horizontal="center"/>
    </xf>
    <xf numFmtId="181" fontId="0" fillId="0" borderId="65" xfId="0" applyNumberFormat="1" applyBorder="1" applyAlignment="1">
      <alignment horizontal="center"/>
    </xf>
    <xf numFmtId="2" fontId="6" fillId="5" borderId="69" xfId="0" applyNumberFormat="1" applyFont="1" applyFill="1" applyBorder="1" applyAlignment="1" applyProtection="1">
      <alignment horizontal="center"/>
      <protection hidden="1"/>
    </xf>
    <xf numFmtId="0" fontId="42" fillId="0" borderId="0" xfId="0" applyFont="1" applyAlignment="1" applyProtection="1">
      <alignment vertical="top"/>
      <protection hidden="1"/>
    </xf>
    <xf numFmtId="0" fontId="20" fillId="0" borderId="0" xfId="0" applyFont="1" applyAlignment="1" applyProtection="1">
      <alignment vertical="center"/>
      <protection hidden="1"/>
    </xf>
    <xf numFmtId="0" fontId="44" fillId="0" borderId="0" xfId="0" applyFont="1" applyAlignment="1">
      <alignment vertical="center"/>
    </xf>
    <xf numFmtId="164" fontId="44" fillId="0" borderId="0" xfId="0" applyNumberFormat="1" applyFont="1" applyAlignment="1" applyProtection="1">
      <alignment vertical="center"/>
      <protection hidden="1"/>
    </xf>
    <xf numFmtId="0" fontId="16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166" fontId="0" fillId="0" borderId="0" xfId="0" applyNumberFormat="1"/>
    <xf numFmtId="0" fontId="7" fillId="0" borderId="0" xfId="0" applyFont="1" applyAlignment="1" applyProtection="1">
      <alignment horizontal="left" vertical="center"/>
      <protection hidden="1"/>
    </xf>
    <xf numFmtId="0" fontId="0" fillId="0" borderId="0" xfId="0" applyAlignment="1">
      <alignment horizontal="center"/>
    </xf>
    <xf numFmtId="0" fontId="0" fillId="0" borderId="7" xfId="0" applyBorder="1" applyAlignment="1">
      <alignment horizontal="right"/>
    </xf>
    <xf numFmtId="177" fontId="5" fillId="0" borderId="75" xfId="0" applyNumberFormat="1" applyFont="1" applyBorder="1" applyAlignment="1" applyProtection="1">
      <alignment horizontal="center" vertical="center"/>
      <protection hidden="1"/>
    </xf>
    <xf numFmtId="0" fontId="0" fillId="0" borderId="76" xfId="0" applyBorder="1" applyAlignment="1">
      <alignment horizontal="right"/>
    </xf>
    <xf numFmtId="177" fontId="5" fillId="0" borderId="77" xfId="0" applyNumberFormat="1" applyFont="1" applyBorder="1" applyAlignment="1" applyProtection="1">
      <alignment horizontal="center" vertical="center"/>
      <protection hidden="1"/>
    </xf>
    <xf numFmtId="165" fontId="0" fillId="0" borderId="23" xfId="0" applyNumberFormat="1" applyBorder="1" applyAlignment="1">
      <alignment horizontal="center"/>
    </xf>
    <xf numFmtId="171" fontId="10" fillId="0" borderId="20" xfId="0" applyNumberFormat="1" applyFont="1" applyBorder="1" applyAlignment="1" applyProtection="1">
      <alignment horizontal="center" vertical="center"/>
      <protection hidden="1"/>
    </xf>
    <xf numFmtId="171" fontId="6" fillId="0" borderId="20" xfId="0" applyNumberFormat="1" applyFont="1" applyBorder="1" applyAlignment="1" applyProtection="1">
      <alignment horizontal="center" vertical="center"/>
      <protection hidden="1"/>
    </xf>
    <xf numFmtId="171" fontId="6" fillId="0" borderId="23" xfId="0" applyNumberFormat="1" applyFont="1" applyBorder="1" applyAlignment="1" applyProtection="1">
      <alignment horizontal="center" vertical="center"/>
      <protection hidden="1"/>
    </xf>
    <xf numFmtId="171" fontId="10" fillId="0" borderId="23" xfId="0" applyNumberFormat="1" applyFont="1" applyBorder="1" applyAlignment="1" applyProtection="1">
      <alignment horizontal="center" vertical="center"/>
      <protection hidden="1"/>
    </xf>
    <xf numFmtId="0" fontId="0" fillId="0" borderId="18" xfId="0" applyBorder="1" applyAlignment="1">
      <alignment horizontal="center"/>
    </xf>
    <xf numFmtId="171" fontId="6" fillId="0" borderId="86" xfId="0" applyNumberFormat="1" applyFont="1" applyBorder="1" applyAlignment="1" applyProtection="1">
      <alignment horizontal="center" vertical="center"/>
      <protection hidden="1"/>
    </xf>
    <xf numFmtId="171" fontId="10" fillId="0" borderId="86" xfId="0" applyNumberFormat="1" applyFont="1" applyBorder="1" applyAlignment="1" applyProtection="1">
      <alignment horizontal="center" vertical="center"/>
      <protection hidden="1"/>
    </xf>
    <xf numFmtId="171" fontId="10" fillId="0" borderId="87" xfId="0" applyNumberFormat="1" applyFont="1" applyBorder="1" applyAlignment="1" applyProtection="1">
      <alignment horizontal="center" vertical="center"/>
      <protection hidden="1"/>
    </xf>
    <xf numFmtId="171" fontId="18" fillId="0" borderId="23" xfId="0" applyNumberFormat="1" applyFont="1" applyBorder="1" applyAlignment="1" applyProtection="1">
      <alignment horizontal="center" vertical="center"/>
      <protection hidden="1"/>
    </xf>
    <xf numFmtId="0" fontId="0" fillId="0" borderId="22" xfId="0" applyBorder="1" applyAlignment="1">
      <alignment horizontal="right"/>
    </xf>
    <xf numFmtId="0" fontId="6" fillId="0" borderId="5" xfId="0" applyFont="1" applyBorder="1" applyAlignment="1" applyProtection="1">
      <alignment horizontal="center"/>
      <protection hidden="1"/>
    </xf>
    <xf numFmtId="177" fontId="6" fillId="0" borderId="6" xfId="0" applyNumberFormat="1" applyFont="1" applyBorder="1" applyAlignment="1" applyProtection="1">
      <alignment horizontal="center"/>
      <protection hidden="1"/>
    </xf>
    <xf numFmtId="0" fontId="6" fillId="0" borderId="10" xfId="0" applyFont="1" applyBorder="1" applyAlignment="1" applyProtection="1">
      <alignment horizontal="center"/>
      <protection hidden="1"/>
    </xf>
    <xf numFmtId="177" fontId="6" fillId="0" borderId="11" xfId="0" applyNumberFormat="1" applyFont="1" applyBorder="1" applyAlignment="1" applyProtection="1">
      <alignment horizontal="center"/>
      <protection hidden="1"/>
    </xf>
    <xf numFmtId="0" fontId="6" fillId="0" borderId="7" xfId="0" applyFont="1" applyBorder="1" applyAlignment="1" applyProtection="1">
      <alignment horizontal="center"/>
      <protection hidden="1"/>
    </xf>
    <xf numFmtId="177" fontId="6" fillId="0" borderId="8" xfId="0" applyNumberFormat="1" applyFont="1" applyBorder="1" applyAlignment="1" applyProtection="1">
      <alignment horizontal="center"/>
      <protection hidden="1"/>
    </xf>
    <xf numFmtId="0" fontId="9" fillId="7" borderId="84" xfId="0" applyFont="1" applyFill="1" applyBorder="1" applyAlignment="1">
      <alignment horizontal="center" vertical="center"/>
    </xf>
    <xf numFmtId="0" fontId="0" fillId="7" borderId="84" xfId="0" applyFill="1" applyBorder="1" applyAlignment="1">
      <alignment horizontal="center" vertical="center"/>
    </xf>
    <xf numFmtId="0" fontId="45" fillId="7" borderId="84" xfId="0" applyFont="1" applyFill="1" applyBorder="1" applyAlignment="1">
      <alignment horizontal="center" vertical="center"/>
    </xf>
    <xf numFmtId="0" fontId="17" fillId="7" borderId="83" xfId="0" applyFont="1" applyFill="1" applyBorder="1" applyAlignment="1">
      <alignment horizontal="center" vertical="center"/>
    </xf>
    <xf numFmtId="0" fontId="9" fillId="8" borderId="90" xfId="0" applyFont="1" applyFill="1" applyBorder="1" applyAlignment="1">
      <alignment horizontal="center" vertical="center"/>
    </xf>
    <xf numFmtId="0" fontId="23" fillId="8" borderId="90" xfId="0" applyFont="1" applyFill="1" applyBorder="1" applyAlignment="1">
      <alignment horizontal="center" vertical="center"/>
    </xf>
    <xf numFmtId="0" fontId="0" fillId="8" borderId="90" xfId="0" applyFill="1" applyBorder="1" applyAlignment="1">
      <alignment horizontal="center" vertical="center"/>
    </xf>
    <xf numFmtId="0" fontId="9" fillId="8" borderId="9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right" vertical="center"/>
    </xf>
    <xf numFmtId="0" fontId="6" fillId="0" borderId="56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17" fillId="0" borderId="82" xfId="0" applyFont="1" applyBorder="1" applyAlignment="1">
      <alignment horizontal="right" vertical="center"/>
    </xf>
    <xf numFmtId="0" fontId="6" fillId="0" borderId="0" xfId="0" applyFont="1" applyAlignment="1" applyProtection="1">
      <alignment horizontal="right" vertical="center"/>
      <protection hidden="1"/>
    </xf>
    <xf numFmtId="0" fontId="44" fillId="0" borderId="98" xfId="0" applyFont="1" applyBorder="1"/>
    <xf numFmtId="0" fontId="44" fillId="0" borderId="95" xfId="0" applyFont="1" applyBorder="1" applyAlignment="1">
      <alignment horizontal="center"/>
    </xf>
    <xf numFmtId="0" fontId="14" fillId="0" borderId="102" xfId="0" applyFont="1" applyBorder="1" applyAlignment="1">
      <alignment horizontal="right"/>
    </xf>
    <xf numFmtId="0" fontId="46" fillId="9" borderId="89" xfId="0" applyFont="1" applyFill="1" applyBorder="1" applyAlignment="1">
      <alignment horizontal="center"/>
    </xf>
    <xf numFmtId="0" fontId="47" fillId="0" borderId="0" xfId="0" applyFont="1" applyAlignment="1" applyProtection="1">
      <alignment vertical="center"/>
      <protection hidden="1"/>
    </xf>
    <xf numFmtId="0" fontId="44" fillId="0" borderId="0" xfId="0" applyFont="1" applyAlignment="1" applyProtection="1">
      <alignment vertical="center"/>
      <protection hidden="1"/>
    </xf>
    <xf numFmtId="0" fontId="14" fillId="0" borderId="104" xfId="0" applyFont="1" applyBorder="1" applyAlignment="1">
      <alignment horizontal="right"/>
    </xf>
    <xf numFmtId="0" fontId="46" fillId="9" borderId="108" xfId="0" applyFont="1" applyFill="1" applyBorder="1" applyAlignment="1">
      <alignment horizontal="center"/>
    </xf>
    <xf numFmtId="0" fontId="14" fillId="0" borderId="110" xfId="0" applyFont="1" applyBorder="1" applyAlignment="1">
      <alignment horizontal="right"/>
    </xf>
    <xf numFmtId="0" fontId="44" fillId="0" borderId="112" xfId="0" applyFont="1" applyBorder="1"/>
    <xf numFmtId="0" fontId="44" fillId="0" borderId="114" xfId="0" applyFont="1" applyBorder="1"/>
    <xf numFmtId="0" fontId="14" fillId="0" borderId="116" xfId="0" applyFont="1" applyBorder="1" applyAlignment="1">
      <alignment horizontal="right"/>
    </xf>
    <xf numFmtId="0" fontId="46" fillId="9" borderId="118" xfId="0" applyFont="1" applyFill="1" applyBorder="1" applyAlignment="1">
      <alignment horizontal="center"/>
    </xf>
    <xf numFmtId="0" fontId="14" fillId="0" borderId="120" xfId="0" applyFont="1" applyBorder="1" applyAlignment="1">
      <alignment horizontal="right"/>
    </xf>
    <xf numFmtId="0" fontId="44" fillId="0" borderId="122" xfId="0" applyFont="1" applyBorder="1"/>
    <xf numFmtId="0" fontId="44" fillId="0" borderId="124" xfId="0" applyFont="1" applyBorder="1"/>
    <xf numFmtId="0" fontId="14" fillId="0" borderId="126" xfId="0" applyFont="1" applyBorder="1" applyAlignment="1">
      <alignment horizontal="right"/>
    </xf>
    <xf numFmtId="0" fontId="46" fillId="9" borderId="129" xfId="0" applyFont="1" applyFill="1" applyBorder="1" applyAlignment="1">
      <alignment horizontal="center"/>
    </xf>
    <xf numFmtId="0" fontId="44" fillId="0" borderId="130" xfId="0" applyFont="1" applyBorder="1"/>
    <xf numFmtId="0" fontId="44" fillId="0" borderId="130" xfId="0" applyFont="1" applyBorder="1" applyAlignment="1">
      <alignment horizontal="right"/>
    </xf>
    <xf numFmtId="0" fontId="44" fillId="0" borderId="131" xfId="0" applyFont="1" applyBorder="1" applyAlignment="1">
      <alignment horizontal="left"/>
    </xf>
    <xf numFmtId="0" fontId="46" fillId="9" borderId="132" xfId="0" applyFont="1" applyFill="1" applyBorder="1" applyAlignment="1">
      <alignment horizontal="center"/>
    </xf>
    <xf numFmtId="0" fontId="44" fillId="0" borderId="106" xfId="0" applyFont="1" applyBorder="1"/>
    <xf numFmtId="0" fontId="44" fillId="0" borderId="106" xfId="0" applyFont="1" applyBorder="1" applyAlignment="1">
      <alignment horizontal="right"/>
    </xf>
    <xf numFmtId="0" fontId="44" fillId="0" borderId="133" xfId="0" applyFont="1" applyBorder="1" applyAlignment="1">
      <alignment horizontal="left"/>
    </xf>
    <xf numFmtId="0" fontId="46" fillId="9" borderId="128" xfId="0" applyFont="1" applyFill="1" applyBorder="1" applyAlignment="1">
      <alignment horizontal="center"/>
    </xf>
    <xf numFmtId="0" fontId="44" fillId="0" borderId="134" xfId="0" applyFont="1" applyBorder="1"/>
    <xf numFmtId="0" fontId="6" fillId="0" borderId="136" xfId="0" applyFont="1" applyBorder="1" applyAlignment="1" applyProtection="1">
      <alignment horizontal="right" vertical="center"/>
      <protection hidden="1"/>
    </xf>
    <xf numFmtId="173" fontId="48" fillId="2" borderId="106" xfId="0" applyNumberFormat="1" applyFont="1" applyFill="1" applyBorder="1" applyProtection="1">
      <protection locked="0"/>
    </xf>
    <xf numFmtId="0" fontId="49" fillId="0" borderId="0" xfId="0" applyFont="1" applyProtection="1">
      <protection hidden="1"/>
    </xf>
    <xf numFmtId="164" fontId="0" fillId="0" borderId="144" xfId="0" applyNumberFormat="1" applyBorder="1" applyAlignment="1" applyProtection="1">
      <alignment horizontal="right" vertical="center"/>
      <protection hidden="1"/>
    </xf>
    <xf numFmtId="164" fontId="0" fillId="0" borderId="145" xfId="0" applyNumberFormat="1" applyBorder="1" applyAlignment="1" applyProtection="1">
      <alignment horizontal="right" vertical="center"/>
      <protection hidden="1"/>
    </xf>
    <xf numFmtId="0" fontId="0" fillId="0" borderId="145" xfId="0" applyBorder="1" applyAlignment="1" applyProtection="1">
      <alignment horizontal="right"/>
      <protection hidden="1"/>
    </xf>
    <xf numFmtId="164" fontId="0" fillId="0" borderId="146" xfId="0" applyNumberFormat="1" applyBorder="1" applyAlignment="1" applyProtection="1">
      <alignment horizontal="right" vertical="center"/>
      <protection hidden="1"/>
    </xf>
    <xf numFmtId="0" fontId="0" fillId="0" borderId="147" xfId="0" applyBorder="1"/>
    <xf numFmtId="0" fontId="48" fillId="0" borderId="148" xfId="0" applyFont="1" applyBorder="1" applyAlignment="1">
      <alignment horizontal="right"/>
    </xf>
    <xf numFmtId="0" fontId="0" fillId="8" borderId="89" xfId="0" applyFill="1" applyBorder="1" applyAlignment="1">
      <alignment horizontal="center" vertical="center"/>
    </xf>
    <xf numFmtId="0" fontId="0" fillId="8" borderId="90" xfId="0" applyFill="1" applyBorder="1" applyAlignment="1">
      <alignment horizontal="center"/>
    </xf>
    <xf numFmtId="0" fontId="0" fillId="6" borderId="79" xfId="0" applyFill="1" applyBorder="1" applyAlignment="1">
      <alignment vertical="center"/>
    </xf>
    <xf numFmtId="0" fontId="0" fillId="6" borderId="80" xfId="0" applyFill="1" applyBorder="1" applyAlignment="1">
      <alignment horizontal="center" vertical="center"/>
    </xf>
    <xf numFmtId="0" fontId="5" fillId="6" borderId="81" xfId="0" applyFont="1" applyFill="1" applyBorder="1" applyAlignment="1" applyProtection="1">
      <alignment horizontal="center" vertical="center"/>
      <protection hidden="1"/>
    </xf>
    <xf numFmtId="171" fontId="6" fillId="0" borderId="88" xfId="0" applyNumberFormat="1" applyFont="1" applyBorder="1" applyAlignment="1" applyProtection="1">
      <alignment horizontal="right"/>
      <protection hidden="1"/>
    </xf>
    <xf numFmtId="171" fontId="6" fillId="0" borderId="73" xfId="0" applyNumberFormat="1" applyFont="1" applyBorder="1" applyAlignment="1" applyProtection="1">
      <alignment horizontal="center"/>
      <protection hidden="1"/>
    </xf>
    <xf numFmtId="171" fontId="6" fillId="0" borderId="73" xfId="0" applyNumberFormat="1" applyFont="1" applyBorder="1" applyAlignment="1">
      <alignment horizontal="center"/>
    </xf>
    <xf numFmtId="171" fontId="6" fillId="0" borderId="74" xfId="0" applyNumberFormat="1" applyFont="1" applyBorder="1" applyAlignment="1">
      <alignment horizontal="center"/>
    </xf>
    <xf numFmtId="171" fontId="6" fillId="0" borderId="2" xfId="0" applyNumberFormat="1" applyFont="1" applyBorder="1" applyAlignment="1" applyProtection="1">
      <alignment horizontal="right"/>
      <protection hidden="1"/>
    </xf>
    <xf numFmtId="171" fontId="6" fillId="0" borderId="3" xfId="0" applyNumberFormat="1" applyFont="1" applyBorder="1" applyAlignment="1" applyProtection="1">
      <alignment horizontal="center"/>
      <protection hidden="1"/>
    </xf>
    <xf numFmtId="171" fontId="6" fillId="0" borderId="3" xfId="0" applyNumberFormat="1" applyFont="1" applyBorder="1" applyAlignment="1">
      <alignment horizontal="center"/>
    </xf>
    <xf numFmtId="171" fontId="6" fillId="0" borderId="15" xfId="0" applyNumberFormat="1" applyFont="1" applyBorder="1" applyAlignment="1">
      <alignment horizontal="center"/>
    </xf>
    <xf numFmtId="11" fontId="6" fillId="0" borderId="16" xfId="0" applyNumberFormat="1" applyFont="1" applyBorder="1" applyAlignment="1">
      <alignment horizontal="center"/>
    </xf>
    <xf numFmtId="11" fontId="6" fillId="0" borderId="55" xfId="0" applyNumberFormat="1" applyFont="1" applyBorder="1" applyAlignment="1">
      <alignment horizontal="center"/>
    </xf>
    <xf numFmtId="11" fontId="6" fillId="0" borderId="15" xfId="0" applyNumberFormat="1" applyFont="1" applyBorder="1" applyAlignment="1">
      <alignment horizontal="center"/>
    </xf>
    <xf numFmtId="0" fontId="5" fillId="0" borderId="8" xfId="0" applyFont="1" applyBorder="1" applyAlignment="1" applyProtection="1">
      <alignment horizontal="center"/>
      <protection hidden="1"/>
    </xf>
    <xf numFmtId="0" fontId="50" fillId="0" borderId="0" xfId="0" applyFont="1" applyAlignment="1" applyProtection="1">
      <alignment vertical="center"/>
      <protection hidden="1"/>
    </xf>
    <xf numFmtId="0" fontId="11" fillId="0" borderId="0" xfId="0" applyFont="1" applyAlignment="1" applyProtection="1">
      <alignment horizontal="right" vertical="center"/>
      <protection hidden="1"/>
    </xf>
    <xf numFmtId="173" fontId="44" fillId="2" borderId="125" xfId="0" applyNumberFormat="1" applyFont="1" applyFill="1" applyBorder="1" applyAlignment="1" applyProtection="1">
      <alignment horizontal="right" vertical="center"/>
      <protection locked="0"/>
    </xf>
    <xf numFmtId="177" fontId="44" fillId="2" borderId="127" xfId="0" applyNumberFormat="1" applyFont="1" applyFill="1" applyBorder="1" applyAlignment="1" applyProtection="1">
      <alignment horizontal="left" vertical="center"/>
      <protection locked="0"/>
    </xf>
    <xf numFmtId="173" fontId="44" fillId="2" borderId="115" xfId="0" applyNumberFormat="1" applyFont="1" applyFill="1" applyBorder="1" applyAlignment="1" applyProtection="1">
      <alignment horizontal="right" vertical="center"/>
      <protection locked="0"/>
    </xf>
    <xf numFmtId="177" fontId="44" fillId="2" borderId="117" xfId="0" applyNumberFormat="1" applyFont="1" applyFill="1" applyBorder="1" applyAlignment="1" applyProtection="1">
      <alignment horizontal="left" vertical="center"/>
      <protection locked="0"/>
    </xf>
    <xf numFmtId="166" fontId="44" fillId="2" borderId="94" xfId="0" applyNumberFormat="1" applyFont="1" applyFill="1" applyBorder="1" applyAlignment="1" applyProtection="1">
      <alignment horizontal="center"/>
      <protection locked="0"/>
    </xf>
    <xf numFmtId="166" fontId="44" fillId="2" borderId="96" xfId="0" applyNumberFormat="1" applyFont="1" applyFill="1" applyBorder="1" applyAlignment="1" applyProtection="1">
      <alignment horizontal="center"/>
      <protection locked="0"/>
    </xf>
    <xf numFmtId="0" fontId="44" fillId="2" borderId="93" xfId="0" applyFont="1" applyFill="1" applyBorder="1" applyAlignment="1" applyProtection="1">
      <alignment horizontal="center" vertical="center"/>
      <protection locked="0"/>
    </xf>
    <xf numFmtId="166" fontId="44" fillId="2" borderId="14" xfId="0" applyNumberFormat="1" applyFont="1" applyFill="1" applyBorder="1" applyAlignment="1" applyProtection="1">
      <alignment horizontal="center"/>
      <protection locked="0"/>
    </xf>
    <xf numFmtId="0" fontId="48" fillId="0" borderId="109" xfId="0" applyFont="1" applyBorder="1" applyAlignment="1">
      <alignment horizontal="right"/>
    </xf>
    <xf numFmtId="0" fontId="48" fillId="0" borderId="101" xfId="0" applyFont="1" applyBorder="1" applyAlignment="1" applyProtection="1">
      <alignment horizontal="right" vertical="center"/>
      <protection hidden="1"/>
    </xf>
    <xf numFmtId="0" fontId="48" fillId="0" borderId="115" xfId="0" applyFont="1" applyBorder="1" applyAlignment="1" applyProtection="1">
      <alignment horizontal="right"/>
      <protection hidden="1"/>
    </xf>
    <xf numFmtId="0" fontId="48" fillId="0" borderId="0" xfId="0" applyFont="1" applyProtection="1">
      <protection hidden="1"/>
    </xf>
    <xf numFmtId="0" fontId="48" fillId="0" borderId="119" xfId="0" applyFont="1" applyBorder="1" applyAlignment="1">
      <alignment horizontal="right"/>
    </xf>
    <xf numFmtId="0" fontId="48" fillId="0" borderId="103" xfId="0" applyFont="1" applyBorder="1" applyAlignment="1" applyProtection="1">
      <alignment horizontal="right" vertical="center"/>
      <protection hidden="1"/>
    </xf>
    <xf numFmtId="0" fontId="48" fillId="0" borderId="125" xfId="0" applyFont="1" applyBorder="1" applyAlignment="1" applyProtection="1">
      <alignment horizontal="right"/>
      <protection hidden="1"/>
    </xf>
    <xf numFmtId="0" fontId="48" fillId="0" borderId="130" xfId="0" applyFont="1" applyBorder="1" applyAlignment="1">
      <alignment horizontal="right" vertical="center"/>
    </xf>
    <xf numFmtId="0" fontId="48" fillId="0" borderId="107" xfId="0" applyFont="1" applyBorder="1" applyAlignment="1">
      <alignment horizontal="right" vertical="center"/>
    </xf>
    <xf numFmtId="0" fontId="48" fillId="0" borderId="137" xfId="0" applyFont="1" applyBorder="1" applyAlignment="1">
      <alignment horizontal="right" vertical="center"/>
    </xf>
    <xf numFmtId="173" fontId="51" fillId="0" borderId="130" xfId="0" applyNumberFormat="1" applyFont="1" applyBorder="1" applyAlignment="1" applyProtection="1">
      <alignment horizontal="right" vertical="center"/>
      <protection hidden="1"/>
    </xf>
    <xf numFmtId="176" fontId="44" fillId="0" borderId="130" xfId="0" applyNumberFormat="1" applyFont="1" applyBorder="1" applyAlignment="1" applyProtection="1">
      <alignment horizontal="center" vertical="center"/>
      <protection hidden="1"/>
    </xf>
    <xf numFmtId="170" fontId="44" fillId="0" borderId="131" xfId="0" applyNumberFormat="1" applyFont="1" applyBorder="1" applyAlignment="1" applyProtection="1">
      <alignment horizontal="left" vertical="center"/>
      <protection hidden="1"/>
    </xf>
    <xf numFmtId="175" fontId="44" fillId="0" borderId="107" xfId="0" applyNumberFormat="1" applyFont="1" applyBorder="1" applyAlignment="1" applyProtection="1">
      <alignment horizontal="right" vertical="center"/>
      <protection hidden="1"/>
    </xf>
    <xf numFmtId="176" fontId="44" fillId="0" borderId="107" xfId="0" applyNumberFormat="1" applyFont="1" applyBorder="1" applyAlignment="1" applyProtection="1">
      <alignment horizontal="center" vertical="center"/>
      <protection hidden="1"/>
    </xf>
    <xf numFmtId="170" fontId="52" fillId="0" borderId="135" xfId="0" applyNumberFormat="1" applyFont="1" applyBorder="1" applyAlignment="1" applyProtection="1">
      <alignment horizontal="left" vertical="center"/>
      <protection hidden="1"/>
    </xf>
    <xf numFmtId="168" fontId="44" fillId="0" borderId="138" xfId="0" applyNumberFormat="1" applyFont="1" applyBorder="1" applyAlignment="1" applyProtection="1">
      <alignment horizontal="left" vertical="center"/>
      <protection hidden="1"/>
    </xf>
    <xf numFmtId="0" fontId="48" fillId="0" borderId="92" xfId="0" applyFont="1" applyBorder="1" applyAlignment="1" applyProtection="1">
      <alignment horizontal="right" vertical="center"/>
      <protection hidden="1"/>
    </xf>
    <xf numFmtId="0" fontId="48" fillId="0" borderId="59" xfId="0" applyFont="1" applyBorder="1" applyAlignment="1">
      <alignment horizontal="right"/>
    </xf>
    <xf numFmtId="0" fontId="48" fillId="0" borderId="141" xfId="0" applyFont="1" applyBorder="1" applyAlignment="1" applyProtection="1">
      <alignment horizontal="right" vertical="center"/>
      <protection hidden="1"/>
    </xf>
    <xf numFmtId="173" fontId="48" fillId="0" borderId="142" xfId="0" applyNumberFormat="1" applyFont="1" applyBorder="1" applyAlignment="1" applyProtection="1">
      <alignment horizontal="right"/>
      <protection hidden="1"/>
    </xf>
    <xf numFmtId="176" fontId="48" fillId="0" borderId="143" xfId="0" applyNumberFormat="1" applyFont="1" applyBorder="1" applyAlignment="1" applyProtection="1">
      <alignment horizontal="center"/>
      <protection hidden="1"/>
    </xf>
    <xf numFmtId="0" fontId="48" fillId="0" borderId="140" xfId="0" applyFont="1" applyBorder="1" applyAlignment="1" applyProtection="1">
      <alignment horizontal="right" vertical="center"/>
      <protection hidden="1"/>
    </xf>
    <xf numFmtId="173" fontId="48" fillId="0" borderId="105" xfId="0" applyNumberFormat="1" applyFont="1" applyBorder="1" applyAlignment="1" applyProtection="1">
      <alignment horizontal="right"/>
      <protection hidden="1"/>
    </xf>
    <xf numFmtId="176" fontId="48" fillId="0" borderId="139" xfId="0" applyNumberFormat="1" applyFont="1" applyBorder="1" applyAlignment="1" applyProtection="1">
      <alignment horizontal="center"/>
      <protection hidden="1"/>
    </xf>
    <xf numFmtId="0" fontId="48" fillId="0" borderId="132" xfId="0" applyFont="1" applyBorder="1" applyAlignment="1" applyProtection="1">
      <alignment horizontal="right" vertical="center"/>
      <protection hidden="1"/>
    </xf>
    <xf numFmtId="173" fontId="48" fillId="0" borderId="106" xfId="0" applyNumberFormat="1" applyFont="1" applyBorder="1" applyProtection="1">
      <protection hidden="1"/>
    </xf>
    <xf numFmtId="176" fontId="48" fillId="0" borderId="133" xfId="0" applyNumberFormat="1" applyFont="1" applyBorder="1" applyAlignment="1" applyProtection="1">
      <alignment horizontal="center"/>
      <protection hidden="1"/>
    </xf>
    <xf numFmtId="173" fontId="48" fillId="0" borderId="106" xfId="0" applyNumberFormat="1" applyFont="1" applyBorder="1" applyAlignment="1" applyProtection="1">
      <alignment horizontal="right"/>
      <protection hidden="1"/>
    </xf>
    <xf numFmtId="168" fontId="44" fillId="9" borderId="128" xfId="0" applyNumberFormat="1" applyFont="1" applyFill="1" applyBorder="1" applyAlignment="1" applyProtection="1">
      <alignment horizontal="right" vertical="center"/>
      <protection hidden="1"/>
    </xf>
    <xf numFmtId="0" fontId="48" fillId="0" borderId="92" xfId="0" applyFont="1" applyBorder="1" applyAlignment="1">
      <alignment horizontal="right"/>
    </xf>
    <xf numFmtId="0" fontId="48" fillId="0" borderId="59" xfId="0" applyFont="1" applyBorder="1" applyAlignment="1" applyProtection="1">
      <alignment horizontal="right" vertical="center"/>
      <protection hidden="1"/>
    </xf>
    <xf numFmtId="177" fontId="44" fillId="2" borderId="100" xfId="0" applyNumberFormat="1" applyFont="1" applyFill="1" applyBorder="1" applyAlignment="1" applyProtection="1">
      <alignment horizontal="center"/>
      <protection locked="0"/>
    </xf>
    <xf numFmtId="177" fontId="44" fillId="2" borderId="19" xfId="0" applyNumberFormat="1" applyFont="1" applyFill="1" applyBorder="1" applyAlignment="1" applyProtection="1">
      <alignment horizontal="center"/>
      <protection locked="0"/>
    </xf>
    <xf numFmtId="0" fontId="48" fillId="6" borderId="9" xfId="0" applyFont="1" applyFill="1" applyBorder="1" applyAlignment="1" applyProtection="1">
      <alignment horizontal="center"/>
      <protection hidden="1"/>
    </xf>
    <xf numFmtId="0" fontId="48" fillId="6" borderId="17" xfId="0" applyFont="1" applyFill="1" applyBorder="1" applyAlignment="1" applyProtection="1">
      <alignment horizontal="center"/>
      <protection hidden="1"/>
    </xf>
    <xf numFmtId="0" fontId="48" fillId="8" borderId="51" xfId="0" applyFont="1" applyFill="1" applyBorder="1" applyAlignment="1" applyProtection="1">
      <alignment horizontal="center"/>
      <protection hidden="1"/>
    </xf>
    <xf numFmtId="0" fontId="48" fillId="8" borderId="52" xfId="0" applyFont="1" applyFill="1" applyBorder="1" applyAlignment="1" applyProtection="1">
      <alignment horizontal="center"/>
      <protection hidden="1"/>
    </xf>
    <xf numFmtId="0" fontId="48" fillId="0" borderId="51" xfId="0" applyFont="1" applyBorder="1" applyAlignment="1">
      <alignment horizontal="right" vertical="center"/>
    </xf>
    <xf numFmtId="0" fontId="48" fillId="0" borderId="6" xfId="0" applyFont="1" applyBorder="1" applyAlignment="1" applyProtection="1">
      <alignment horizontal="center"/>
      <protection hidden="1"/>
    </xf>
    <xf numFmtId="182" fontId="6" fillId="0" borderId="52" xfId="0" applyNumberFormat="1" applyFont="1" applyBorder="1" applyAlignment="1">
      <alignment horizontal="center" vertical="center"/>
    </xf>
    <xf numFmtId="179" fontId="48" fillId="2" borderId="149" xfId="0" applyNumberFormat="1" applyFont="1" applyFill="1" applyBorder="1" applyAlignment="1" applyProtection="1">
      <alignment horizontal="center" vertical="center"/>
      <protection locked="0"/>
    </xf>
    <xf numFmtId="166" fontId="48" fillId="2" borderId="130" xfId="0" applyNumberFormat="1" applyFont="1" applyFill="1" applyBorder="1" applyProtection="1">
      <protection locked="0"/>
    </xf>
    <xf numFmtId="165" fontId="0" fillId="0" borderId="150" xfId="0" applyNumberFormat="1" applyBorder="1" applyAlignment="1">
      <alignment horizontal="right" vertical="center"/>
    </xf>
    <xf numFmtId="1" fontId="0" fillId="0" borderId="151" xfId="0" applyNumberFormat="1" applyBorder="1" applyAlignment="1">
      <alignment horizontal="left" vertical="center"/>
    </xf>
    <xf numFmtId="181" fontId="7" fillId="0" borderId="0" xfId="0" applyNumberFormat="1" applyFont="1" applyProtection="1">
      <protection hidden="1"/>
    </xf>
    <xf numFmtId="0" fontId="16" fillId="7" borderId="84" xfId="0" applyFont="1" applyFill="1" applyBorder="1" applyAlignment="1">
      <alignment horizontal="center" vertical="center"/>
    </xf>
    <xf numFmtId="176" fontId="5" fillId="0" borderId="77" xfId="0" applyNumberFormat="1" applyFont="1" applyBorder="1" applyAlignment="1" applyProtection="1">
      <alignment horizontal="center" vertical="center"/>
      <protection hidden="1"/>
    </xf>
    <xf numFmtId="176" fontId="5" fillId="0" borderId="75" xfId="0" applyNumberFormat="1" applyFont="1" applyBorder="1" applyAlignment="1" applyProtection="1">
      <alignment horizontal="center" vertical="center"/>
      <protection hidden="1"/>
    </xf>
    <xf numFmtId="172" fontId="5" fillId="0" borderId="77" xfId="0" applyNumberFormat="1" applyFont="1" applyBorder="1" applyAlignment="1" applyProtection="1">
      <alignment horizontal="center" vertical="center"/>
      <protection hidden="1"/>
    </xf>
    <xf numFmtId="172" fontId="5" fillId="0" borderId="75" xfId="0" applyNumberFormat="1" applyFont="1" applyBorder="1" applyAlignment="1" applyProtection="1">
      <alignment horizontal="center" vertical="center"/>
      <protection hidden="1"/>
    </xf>
    <xf numFmtId="172" fontId="6" fillId="0" borderId="77" xfId="0" applyNumberFormat="1" applyFont="1" applyBorder="1" applyAlignment="1" applyProtection="1">
      <alignment horizontal="center" vertical="center"/>
      <protection hidden="1"/>
    </xf>
    <xf numFmtId="172" fontId="6" fillId="0" borderId="75" xfId="0" applyNumberFormat="1" applyFont="1" applyBorder="1" applyAlignment="1" applyProtection="1">
      <alignment horizontal="center" vertical="center"/>
      <protection hidden="1"/>
    </xf>
    <xf numFmtId="164" fontId="6" fillId="0" borderId="78" xfId="0" applyNumberFormat="1" applyFont="1" applyBorder="1" applyAlignment="1" applyProtection="1">
      <alignment horizontal="center" vertical="center"/>
      <protection hidden="1"/>
    </xf>
    <xf numFmtId="164" fontId="6" fillId="0" borderId="8" xfId="0" applyNumberFormat="1" applyFont="1" applyBorder="1" applyAlignment="1" applyProtection="1">
      <alignment horizontal="center" vertical="center"/>
      <protection hidden="1"/>
    </xf>
    <xf numFmtId="0" fontId="0" fillId="7" borderId="85" xfId="0" applyFill="1" applyBorder="1" applyAlignment="1">
      <alignment horizontal="center" vertical="center"/>
    </xf>
    <xf numFmtId="0" fontId="57" fillId="0" borderId="0" xfId="0" applyFont="1" applyAlignment="1" applyProtection="1">
      <alignment horizontal="left" vertical="top"/>
      <protection hidden="1"/>
    </xf>
    <xf numFmtId="0" fontId="44" fillId="0" borderId="97" xfId="0" applyFont="1" applyBorder="1" applyAlignment="1">
      <alignment horizontal="center"/>
    </xf>
    <xf numFmtId="0" fontId="44" fillId="0" borderId="99" xfId="0" applyFont="1" applyBorder="1" applyAlignment="1">
      <alignment horizontal="center"/>
    </xf>
    <xf numFmtId="168" fontId="44" fillId="9" borderId="136" xfId="0" applyNumberFormat="1" applyFont="1" applyFill="1" applyBorder="1" applyAlignment="1" applyProtection="1">
      <alignment horizontal="center" vertical="center"/>
      <protection hidden="1"/>
    </xf>
    <xf numFmtId="168" fontId="44" fillId="9" borderId="138" xfId="0" applyNumberFormat="1" applyFont="1" applyFill="1" applyBorder="1" applyAlignment="1" applyProtection="1">
      <alignment horizontal="center" vertical="center"/>
      <protection hidden="1"/>
    </xf>
    <xf numFmtId="0" fontId="48" fillId="0" borderId="24" xfId="0" applyFont="1" applyBorder="1" applyAlignment="1" applyProtection="1">
      <alignment horizontal="center" vertical="center"/>
      <protection hidden="1"/>
    </xf>
    <xf numFmtId="0" fontId="48" fillId="0" borderId="25" xfId="0" applyFont="1" applyBorder="1" applyAlignment="1" applyProtection="1">
      <alignment horizontal="center" vertical="center"/>
      <protection hidden="1"/>
    </xf>
    <xf numFmtId="169" fontId="44" fillId="2" borderId="119" xfId="0" applyNumberFormat="1" applyFont="1" applyFill="1" applyBorder="1" applyAlignment="1" applyProtection="1">
      <alignment horizontal="center" vertical="center"/>
      <protection locked="0"/>
    </xf>
    <xf numFmtId="169" fontId="44" fillId="2" borderId="121" xfId="0" applyNumberFormat="1" applyFont="1" applyFill="1" applyBorder="1" applyAlignment="1" applyProtection="1">
      <alignment horizontal="center" vertical="center"/>
      <protection locked="0"/>
    </xf>
    <xf numFmtId="183" fontId="44" fillId="2" borderId="103" xfId="0" applyNumberFormat="1" applyFont="1" applyFill="1" applyBorder="1" applyAlignment="1" applyProtection="1">
      <alignment horizontal="center" vertical="center"/>
      <protection locked="0"/>
    </xf>
    <xf numFmtId="183" fontId="44" fillId="2" borderId="123" xfId="0" applyNumberFormat="1" applyFont="1" applyFill="1" applyBorder="1" applyAlignment="1" applyProtection="1">
      <alignment horizontal="center" vertical="center"/>
      <protection locked="0"/>
    </xf>
    <xf numFmtId="168" fontId="44" fillId="0" borderId="137" xfId="0" applyNumberFormat="1" applyFont="1" applyBorder="1" applyAlignment="1" applyProtection="1">
      <alignment horizontal="center" vertical="center"/>
      <protection hidden="1"/>
    </xf>
    <xf numFmtId="169" fontId="44" fillId="2" borderId="109" xfId="0" applyNumberFormat="1" applyFont="1" applyFill="1" applyBorder="1" applyAlignment="1" applyProtection="1">
      <alignment horizontal="center" vertical="center"/>
      <protection locked="0"/>
    </xf>
    <xf numFmtId="169" fontId="44" fillId="2" borderId="111" xfId="0" applyNumberFormat="1" applyFont="1" applyFill="1" applyBorder="1" applyAlignment="1" applyProtection="1">
      <alignment horizontal="center" vertical="center"/>
      <protection locked="0"/>
    </xf>
    <xf numFmtId="183" fontId="44" fillId="2" borderId="101" xfId="0" applyNumberFormat="1" applyFont="1" applyFill="1" applyBorder="1" applyAlignment="1" applyProtection="1">
      <alignment horizontal="center" vertical="center"/>
      <protection locked="0"/>
    </xf>
    <xf numFmtId="183" fontId="44" fillId="2" borderId="113" xfId="0" applyNumberFormat="1" applyFont="1" applyFill="1" applyBorder="1" applyAlignment="1" applyProtection="1">
      <alignment horizontal="center" vertical="center"/>
      <protection locked="0"/>
    </xf>
    <xf numFmtId="0" fontId="20" fillId="0" borderId="26" xfId="0" applyFont="1" applyBorder="1" applyAlignment="1" applyProtection="1">
      <alignment horizontal="center" vertical="center"/>
      <protection hidden="1"/>
    </xf>
    <xf numFmtId="0" fontId="20" fillId="0" borderId="27" xfId="0" applyFont="1" applyBorder="1" applyAlignment="1" applyProtection="1">
      <alignment horizontal="center" vertical="center"/>
      <protection hidden="1"/>
    </xf>
    <xf numFmtId="0" fontId="20" fillId="0" borderId="28" xfId="0" applyFont="1" applyBorder="1" applyAlignment="1" applyProtection="1">
      <alignment horizontal="center" vertical="center"/>
      <protection hidden="1"/>
    </xf>
    <xf numFmtId="0" fontId="5" fillId="0" borderId="29" xfId="0" applyFont="1" applyBorder="1" applyAlignment="1" applyProtection="1">
      <alignment horizontal="right" vertical="center"/>
      <protection hidden="1"/>
    </xf>
    <xf numFmtId="0" fontId="5" fillId="0" borderId="30" xfId="0" applyFont="1" applyBorder="1" applyAlignment="1" applyProtection="1">
      <alignment horizontal="right" vertical="center"/>
      <protection hidden="1"/>
    </xf>
    <xf numFmtId="0" fontId="5" fillId="0" borderId="32" xfId="0" applyFont="1" applyBorder="1" applyAlignment="1" applyProtection="1">
      <alignment horizontal="right" vertical="center"/>
      <protection hidden="1"/>
    </xf>
    <xf numFmtId="0" fontId="5" fillId="0" borderId="0" xfId="0" applyFont="1" applyAlignment="1" applyProtection="1">
      <alignment horizontal="right" vertical="center"/>
      <protection hidden="1"/>
    </xf>
  </cellXfs>
  <cellStyles count="177">
    <cellStyle name="Besuchter Hyperlink" xfId="2" builtinId="9" hidden="1"/>
    <cellStyle name="Besuchter Hyperlink" xfId="4" builtinId="9" hidden="1"/>
    <cellStyle name="Besuchter Hyperlink" xfId="6" builtinId="9" hidden="1"/>
    <cellStyle name="Besuchter Hyperlink" xfId="8" builtinId="9" hidden="1"/>
    <cellStyle name="Besuchter Hyperlink" xfId="10" builtinId="9" hidden="1"/>
    <cellStyle name="Besuchter Hyperlink" xfId="12" builtinId="9" hidden="1"/>
    <cellStyle name="Besuchter Hyperlink" xfId="14" builtinId="9" hidden="1"/>
    <cellStyle name="Besuchter Hyperlink" xfId="16" builtinId="9" hidden="1"/>
    <cellStyle name="Besuchter Hyperlink" xfId="18" builtinId="9" hidden="1"/>
    <cellStyle name="Besuchter Hyperlink" xfId="20" builtinId="9" hidden="1"/>
    <cellStyle name="Besuchter Hyperlink" xfId="22" builtinId="9" hidden="1"/>
    <cellStyle name="Besuchter Hyperlink" xfId="24" builtinId="9" hidden="1"/>
    <cellStyle name="Besuchter Hyperlink" xfId="26" builtinId="9" hidden="1"/>
    <cellStyle name="Besuchter Hyperlink" xfId="28" builtinId="9" hidden="1"/>
    <cellStyle name="Besuchter Hyperlink" xfId="30" builtinId="9" hidden="1"/>
    <cellStyle name="Besuchter Hyperlink" xfId="32" builtinId="9" hidden="1"/>
    <cellStyle name="Besuchter Hyperlink" xfId="34" builtinId="9" hidden="1"/>
    <cellStyle name="Besuchter Hyperlink" xfId="36" builtinId="9" hidden="1"/>
    <cellStyle name="Besuchter Hyperlink" xfId="38" builtinId="9" hidden="1"/>
    <cellStyle name="Besuchter Hyperlink" xfId="40" builtinId="9" hidden="1"/>
    <cellStyle name="Besuchter Hyperlink" xfId="42" builtinId="9" hidden="1"/>
    <cellStyle name="Besuchter Hyperlink" xfId="44" builtinId="9" hidden="1"/>
    <cellStyle name="Besuchter Hyperlink" xfId="46" builtinId="9" hidden="1"/>
    <cellStyle name="Besuchter Hyperlink" xfId="48" builtinId="9" hidden="1"/>
    <cellStyle name="Besuchter Hyperlink" xfId="50" builtinId="9" hidden="1"/>
    <cellStyle name="Besuchter Hyperlink" xfId="52" builtinId="9" hidden="1"/>
    <cellStyle name="Besuchter Hyperlink" xfId="54" builtinId="9" hidden="1"/>
    <cellStyle name="Besuchter Hyperlink" xfId="56" builtinId="9" hidden="1"/>
    <cellStyle name="Besuchter Hyperlink" xfId="58" builtinId="9" hidden="1"/>
    <cellStyle name="Besuchter Hyperlink" xfId="60" builtinId="9" hidden="1"/>
    <cellStyle name="Besuchter Hyperlink" xfId="62" builtinId="9" hidden="1"/>
    <cellStyle name="Besuchter Hyperlink" xfId="64" builtinId="9" hidden="1"/>
    <cellStyle name="Besuchter Hyperlink" xfId="66" builtinId="9" hidden="1"/>
    <cellStyle name="Besuchter Hyperlink" xfId="68" builtinId="9" hidden="1"/>
    <cellStyle name="Besuchter Hyperlink" xfId="70" builtinId="9" hidden="1"/>
    <cellStyle name="Besuchter Hyperlink" xfId="72" builtinId="9" hidden="1"/>
    <cellStyle name="Besuchter Hyperlink" xfId="74" builtinId="9" hidden="1"/>
    <cellStyle name="Besuchter Hyperlink" xfId="76" builtinId="9" hidden="1"/>
    <cellStyle name="Besuchter Hyperlink" xfId="78" builtinId="9" hidden="1"/>
    <cellStyle name="Besuchter Hyperlink" xfId="80" builtinId="9" hidden="1"/>
    <cellStyle name="Besuchter Hyperlink" xfId="82" builtinId="9" hidden="1"/>
    <cellStyle name="Besuchter Hyperlink" xfId="84" builtinId="9" hidden="1"/>
    <cellStyle name="Besuchter Hyperlink" xfId="86" builtinId="9" hidden="1"/>
    <cellStyle name="Besuchter Hyperlink" xfId="88" builtinId="9" hidden="1"/>
    <cellStyle name="Besuchter Hyperlink" xfId="90" builtinId="9" hidden="1"/>
    <cellStyle name="Besuchter Hyperlink" xfId="92" builtinId="9" hidden="1"/>
    <cellStyle name="Besuchter Hyperlink" xfId="94" builtinId="9" hidden="1"/>
    <cellStyle name="Besuchter Hyperlink" xfId="96" builtinId="9" hidden="1"/>
    <cellStyle name="Besuchter Hyperlink" xfId="98" builtinId="9" hidden="1"/>
    <cellStyle name="Besuchter Hyperlink" xfId="100" builtinId="9" hidden="1"/>
    <cellStyle name="Besuchter Hyperlink" xfId="102" builtinId="9" hidden="1"/>
    <cellStyle name="Besuchter Hyperlink" xfId="104" builtinId="9" hidden="1"/>
    <cellStyle name="Besuchter Hyperlink" xfId="106" builtinId="9" hidden="1"/>
    <cellStyle name="Besuchter Hyperlink" xfId="108" builtinId="9" hidden="1"/>
    <cellStyle name="Besuchter Hyperlink" xfId="110" builtinId="9" hidden="1"/>
    <cellStyle name="Besuchter Hyperlink" xfId="112" builtinId="9" hidden="1"/>
    <cellStyle name="Besuchter Hyperlink" xfId="114" builtinId="9" hidden="1"/>
    <cellStyle name="Besuchter Hyperlink" xfId="116" builtinId="9" hidden="1"/>
    <cellStyle name="Besuchter Hyperlink" xfId="118" builtinId="9" hidden="1"/>
    <cellStyle name="Besuchter Hyperlink" xfId="120" builtinId="9" hidden="1"/>
    <cellStyle name="Besuchter Hyperlink" xfId="122" builtinId="9" hidden="1"/>
    <cellStyle name="Besuchter Hyperlink" xfId="124" builtinId="9" hidden="1"/>
    <cellStyle name="Besuchter Hyperlink" xfId="126" builtinId="9" hidden="1"/>
    <cellStyle name="Besuchter Hyperlink" xfId="128" builtinId="9" hidden="1"/>
    <cellStyle name="Besuchter Hyperlink" xfId="130" builtinId="9" hidden="1"/>
    <cellStyle name="Besuchter Hyperlink" xfId="132" builtinId="9" hidden="1"/>
    <cellStyle name="Besuchter Hyperlink" xfId="134" builtinId="9" hidden="1"/>
    <cellStyle name="Besuchter Hyperlink" xfId="136" builtinId="9" hidden="1"/>
    <cellStyle name="Besuchter Hyperlink" xfId="138" builtinId="9" hidden="1"/>
    <cellStyle name="Besuchter Hyperlink" xfId="140" builtinId="9" hidden="1"/>
    <cellStyle name="Besuchter Hyperlink" xfId="142" builtinId="9" hidden="1"/>
    <cellStyle name="Besuchter Hyperlink" xfId="144" builtinId="9" hidden="1"/>
    <cellStyle name="Besuchter Hyperlink" xfId="146" builtinId="9" hidden="1"/>
    <cellStyle name="Besuchter Hyperlink" xfId="148" builtinId="9" hidden="1"/>
    <cellStyle name="Besuchter Hyperlink" xfId="150" builtinId="9" hidden="1"/>
    <cellStyle name="Besuchter Hyperlink" xfId="152" builtinId="9" hidden="1"/>
    <cellStyle name="Besuchter Hyperlink" xfId="154" builtinId="9" hidden="1"/>
    <cellStyle name="Besuchter Hyperlink" xfId="156" builtinId="9" hidden="1"/>
    <cellStyle name="Besuchter Hyperlink" xfId="158" builtinId="9" hidden="1"/>
    <cellStyle name="Besuchter Hyperlink" xfId="160" builtinId="9" hidden="1"/>
    <cellStyle name="Besuchter Hyperlink" xfId="162" builtinId="9" hidden="1"/>
    <cellStyle name="Besuchter Hyperlink" xfId="164" builtinId="9" hidden="1"/>
    <cellStyle name="Besuchter Hyperlink" xfId="166" builtinId="9" hidden="1"/>
    <cellStyle name="Besuchter Hyperlink" xfId="168" builtinId="9" hidden="1"/>
    <cellStyle name="Besuchter Hyperlink" xfId="170" builtinId="9" hidden="1"/>
    <cellStyle name="Besuchter Hyperlink" xfId="172" builtinId="9" hidden="1"/>
    <cellStyle name="Besuchter Hyperlink" xfId="174" builtinId="9" hidden="1"/>
    <cellStyle name="Besuchter Hyperlink" xfId="176" builtinId="9" hidden="1"/>
    <cellStyle name="Link" xfId="1" builtinId="8" hidden="1"/>
    <cellStyle name="Link" xfId="3" builtinId="8" hidden="1"/>
    <cellStyle name="Link" xfId="5" builtinId="8" hidden="1"/>
    <cellStyle name="Link" xfId="7" builtinId="8" hidden="1"/>
    <cellStyle name="Link" xfId="9" builtinId="8" hidden="1"/>
    <cellStyle name="Link" xfId="11" builtinId="8" hidden="1"/>
    <cellStyle name="Link" xfId="13" builtinId="8" hidden="1"/>
    <cellStyle name="Link" xfId="15" builtinId="8" hidden="1"/>
    <cellStyle name="Link" xfId="17" builtinId="8" hidden="1"/>
    <cellStyle name="Link" xfId="19" builtinId="8" hidden="1"/>
    <cellStyle name="Link" xfId="21" builtinId="8" hidden="1"/>
    <cellStyle name="Link" xfId="23" builtinId="8" hidden="1"/>
    <cellStyle name="Link" xfId="25" builtinId="8" hidden="1"/>
    <cellStyle name="Link" xfId="27" builtinId="8" hidden="1"/>
    <cellStyle name="Link" xfId="29" builtinId="8" hidden="1"/>
    <cellStyle name="Link" xfId="31" builtinId="8" hidden="1"/>
    <cellStyle name="Link" xfId="33" builtinId="8" hidden="1"/>
    <cellStyle name="Link" xfId="35" builtinId="8" hidden="1"/>
    <cellStyle name="Link" xfId="37" builtinId="8" hidden="1"/>
    <cellStyle name="Link" xfId="39" builtinId="8" hidden="1"/>
    <cellStyle name="Link" xfId="41" builtinId="8" hidden="1"/>
    <cellStyle name="Link" xfId="43" builtinId="8" hidden="1"/>
    <cellStyle name="Link" xfId="45" builtinId="8" hidden="1"/>
    <cellStyle name="Link" xfId="47" builtinId="8" hidden="1"/>
    <cellStyle name="Link" xfId="49" builtinId="8" hidden="1"/>
    <cellStyle name="Link" xfId="51" builtinId="8" hidden="1"/>
    <cellStyle name="Link" xfId="53" builtinId="8" hidden="1"/>
    <cellStyle name="Link" xfId="55" builtinId="8" hidden="1"/>
    <cellStyle name="Link" xfId="57" builtinId="8" hidden="1"/>
    <cellStyle name="Link" xfId="59" builtinId="8" hidden="1"/>
    <cellStyle name="Link" xfId="61" builtinId="8" hidden="1"/>
    <cellStyle name="Link" xfId="63" builtinId="8" hidden="1"/>
    <cellStyle name="Link" xfId="65" builtinId="8" hidden="1"/>
    <cellStyle name="Link" xfId="67" builtinId="8" hidden="1"/>
    <cellStyle name="Link" xfId="69" builtinId="8" hidden="1"/>
    <cellStyle name="Link" xfId="71" builtinId="8" hidden="1"/>
    <cellStyle name="Link" xfId="73" builtinId="8" hidden="1"/>
    <cellStyle name="Link" xfId="75" builtinId="8" hidden="1"/>
    <cellStyle name="Link" xfId="77" builtinId="8" hidden="1"/>
    <cellStyle name="Link" xfId="79" builtinId="8" hidden="1"/>
    <cellStyle name="Link" xfId="81" builtinId="8" hidden="1"/>
    <cellStyle name="Link" xfId="83" builtinId="8" hidden="1"/>
    <cellStyle name="Link" xfId="85" builtinId="8" hidden="1"/>
    <cellStyle name="Link" xfId="87" builtinId="8" hidden="1"/>
    <cellStyle name="Link" xfId="89" builtinId="8" hidden="1"/>
    <cellStyle name="Link" xfId="91" builtinId="8" hidden="1"/>
    <cellStyle name="Link" xfId="93" builtinId="8" hidden="1"/>
    <cellStyle name="Link" xfId="95" builtinId="8" hidden="1"/>
    <cellStyle name="Link" xfId="97" builtinId="8" hidden="1"/>
    <cellStyle name="Link" xfId="99" builtinId="8" hidden="1"/>
    <cellStyle name="Link" xfId="101" builtinId="8" hidden="1"/>
    <cellStyle name="Link" xfId="103" builtinId="8" hidden="1"/>
    <cellStyle name="Link" xfId="105" builtinId="8" hidden="1"/>
    <cellStyle name="Link" xfId="107" builtinId="8" hidden="1"/>
    <cellStyle name="Link" xfId="109" builtinId="8" hidden="1"/>
    <cellStyle name="Link" xfId="111" builtinId="8" hidden="1"/>
    <cellStyle name="Link" xfId="113" builtinId="8" hidden="1"/>
    <cellStyle name="Link" xfId="115" builtinId="8" hidden="1"/>
    <cellStyle name="Link" xfId="117" builtinId="8" hidden="1"/>
    <cellStyle name="Link" xfId="119" builtinId="8" hidden="1"/>
    <cellStyle name="Link" xfId="121" builtinId="8" hidden="1"/>
    <cellStyle name="Link" xfId="123" builtinId="8" hidden="1"/>
    <cellStyle name="Link" xfId="125" builtinId="8" hidden="1"/>
    <cellStyle name="Link" xfId="127" builtinId="8" hidden="1"/>
    <cellStyle name="Link" xfId="129" builtinId="8" hidden="1"/>
    <cellStyle name="Link" xfId="131" builtinId="8" hidden="1"/>
    <cellStyle name="Link" xfId="133" builtinId="8" hidden="1"/>
    <cellStyle name="Link" xfId="135" builtinId="8" hidden="1"/>
    <cellStyle name="Link" xfId="137" builtinId="8" hidden="1"/>
    <cellStyle name="Link" xfId="139" builtinId="8" hidden="1"/>
    <cellStyle name="Link" xfId="141" builtinId="8" hidden="1"/>
    <cellStyle name="Link" xfId="143" builtinId="8" hidden="1"/>
    <cellStyle name="Link" xfId="145" builtinId="8" hidden="1"/>
    <cellStyle name="Link" xfId="147" builtinId="8" hidden="1"/>
    <cellStyle name="Link" xfId="149" builtinId="8" hidden="1"/>
    <cellStyle name="Link" xfId="151" builtinId="8" hidden="1"/>
    <cellStyle name="Link" xfId="153" builtinId="8" hidden="1"/>
    <cellStyle name="Link" xfId="155" builtinId="8" hidden="1"/>
    <cellStyle name="Link" xfId="157" builtinId="8" hidden="1"/>
    <cellStyle name="Link" xfId="159" builtinId="8" hidden="1"/>
    <cellStyle name="Link" xfId="161" builtinId="8" hidden="1"/>
    <cellStyle name="Link" xfId="163" builtinId="8" hidden="1"/>
    <cellStyle name="Link" xfId="165" builtinId="8" hidden="1"/>
    <cellStyle name="Link" xfId="167" builtinId="8" hidden="1"/>
    <cellStyle name="Link" xfId="169" builtinId="8" hidden="1"/>
    <cellStyle name="Link" xfId="171" builtinId="8" hidden="1"/>
    <cellStyle name="Link" xfId="173" builtinId="8" hidden="1"/>
    <cellStyle name="Link" xfId="175" builtinId="8" hidden="1"/>
    <cellStyle name="Standard" xfId="0" builtinId="0"/>
  </cellStyles>
  <dxfs count="0"/>
  <tableStyles count="0" defaultTableStyle="TableStyleMedium9" defaultPivotStyle="PivotStyleMedium7"/>
  <colors>
    <mruColors>
      <color rgb="FFFF6531"/>
      <color rgb="FFFAFDE0"/>
      <color rgb="FFE2EFDA"/>
      <color rgb="FFFFF803"/>
      <color rgb="FFFF9000"/>
      <color rgb="FFC05C16"/>
      <color rgb="FFFDFAD6"/>
      <color rgb="FFFFA1A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845468105033126"/>
          <c:y val="4.7549439983368413E-2"/>
          <c:w val="0.83365985639460261"/>
          <c:h val="0.8579158545775839"/>
        </c:manualLayout>
      </c:layout>
      <c:scatterChart>
        <c:scatterStyle val="smoothMarker"/>
        <c:varyColors val="0"/>
        <c:ser>
          <c:idx val="4"/>
          <c:order val="0"/>
          <c:tx>
            <c:strRef>
              <c:f>'Grafic local'!$O$13</c:f>
              <c:strCache>
                <c:ptCount val="1"/>
              </c:strCache>
            </c:strRef>
          </c:tx>
          <c:spPr>
            <a:ln w="19050" cap="rnd">
              <a:solidFill>
                <a:srgbClr val="00B050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'Grafic local'!$O$14:$O$56</c:f>
              <c:numCache>
                <c:formatCode>0.00</c:formatCode>
                <c:ptCount val="43"/>
                <c:pt idx="0">
                  <c:v>-11.719548650207969</c:v>
                </c:pt>
                <c:pt idx="1">
                  <c:v>-11.730438635507994</c:v>
                </c:pt>
                <c:pt idx="2">
                  <c:v>-11.741320031599685</c:v>
                </c:pt>
                <c:pt idx="3">
                  <c:v>-11.752192848305185</c:v>
                </c:pt>
                <c:pt idx="4">
                  <c:v>-11.76305709542811</c:v>
                </c:pt>
                <c:pt idx="5">
                  <c:v>-11.773912782753655</c:v>
                </c:pt>
                <c:pt idx="6">
                  <c:v>-11.784759920048828</c:v>
                </c:pt>
                <c:pt idx="7">
                  <c:v>-11.795598517062331</c:v>
                </c:pt>
                <c:pt idx="8">
                  <c:v>-11.806428583524735</c:v>
                </c:pt>
                <c:pt idx="9">
                  <c:v>-11.817250129148363</c:v>
                </c:pt>
                <c:pt idx="10">
                  <c:v>-11.828063163627576</c:v>
                </c:pt>
                <c:pt idx="11">
                  <c:v>-11.838867696638488</c:v>
                </c:pt>
                <c:pt idx="12">
                  <c:v>-11.849663737839364</c:v>
                </c:pt>
                <c:pt idx="13">
                  <c:v>-11.860451296870508</c:v>
                </c:pt>
                <c:pt idx="14">
                  <c:v>-11.871230383354145</c:v>
                </c:pt>
                <c:pt idx="15">
                  <c:v>-11.882001006894825</c:v>
                </c:pt>
                <c:pt idx="16">
                  <c:v>-11.892763177079019</c:v>
                </c:pt>
                <c:pt idx="17">
                  <c:v>-11.903516903475747</c:v>
                </c:pt>
                <c:pt idx="18">
                  <c:v>-11.914262195636013</c:v>
                </c:pt>
                <c:pt idx="19">
                  <c:v>-11.924999063093196</c:v>
                </c:pt>
                <c:pt idx="20">
                  <c:v>-11.935727515363169</c:v>
                </c:pt>
                <c:pt idx="21">
                  <c:v>-11.946447561944069</c:v>
                </c:pt>
                <c:pt idx="22">
                  <c:v>-11.957159212316469</c:v>
                </c:pt>
                <c:pt idx="23">
                  <c:v>-11.967862475943548</c:v>
                </c:pt>
                <c:pt idx="24">
                  <c:v>-11.978557362270806</c:v>
                </c:pt>
                <c:pt idx="25">
                  <c:v>-11.989243880726633</c:v>
                </c:pt>
                <c:pt idx="26">
                  <c:v>-11.999922040721742</c:v>
                </c:pt>
                <c:pt idx="27">
                  <c:v>-12.010591851649679</c:v>
                </c:pt>
                <c:pt idx="28">
                  <c:v>-12.021253322886594</c:v>
                </c:pt>
                <c:pt idx="29">
                  <c:v>-12.031906463791586</c:v>
                </c:pt>
                <c:pt idx="30">
                  <c:v>-12.042551283706302</c:v>
                </c:pt>
                <c:pt idx="31">
                  <c:v>-12.053187791955395</c:v>
                </c:pt>
                <c:pt idx="32">
                  <c:v>-12.063815997846291</c:v>
                </c:pt>
                <c:pt idx="33">
                  <c:v>-12.074435910669536</c:v>
                </c:pt>
                <c:pt idx="34">
                  <c:v>-12.085047539698394</c:v>
                </c:pt>
                <c:pt idx="35">
                  <c:v>-12.095650894189305</c:v>
                </c:pt>
                <c:pt idx="36">
                  <c:v>-12.106245983381768</c:v>
                </c:pt>
                <c:pt idx="37">
                  <c:v>-12.116832816498231</c:v>
                </c:pt>
                <c:pt idx="38">
                  <c:v>-12.127411402744542</c:v>
                </c:pt>
                <c:pt idx="39">
                  <c:v>-12.137981751309496</c:v>
                </c:pt>
                <c:pt idx="40">
                  <c:v>-12.148543871365234</c:v>
                </c:pt>
              </c:numCache>
            </c:numRef>
          </c:xVal>
          <c:yVal>
            <c:numRef>
              <c:f>'Grafic local'!$J$14:$J$56</c:f>
              <c:numCache>
                <c:formatCode>#,##0.00\ _€</c:formatCode>
                <c:ptCount val="43"/>
                <c:pt idx="0">
                  <c:v>34.025891565143034</c:v>
                </c:pt>
                <c:pt idx="1">
                  <c:v>34.013391565143031</c:v>
                </c:pt>
                <c:pt idx="2">
                  <c:v>34.000891565143029</c:v>
                </c:pt>
                <c:pt idx="3">
                  <c:v>33.988391565143026</c:v>
                </c:pt>
                <c:pt idx="4">
                  <c:v>33.975891565143023</c:v>
                </c:pt>
                <c:pt idx="5">
                  <c:v>33.96339156514302</c:v>
                </c:pt>
                <c:pt idx="6">
                  <c:v>33.950891565143017</c:v>
                </c:pt>
                <c:pt idx="7">
                  <c:v>33.938391565143014</c:v>
                </c:pt>
                <c:pt idx="8">
                  <c:v>33.925891565143012</c:v>
                </c:pt>
                <c:pt idx="9">
                  <c:v>33.913391565143009</c:v>
                </c:pt>
                <c:pt idx="10">
                  <c:v>33.900891565143006</c:v>
                </c:pt>
                <c:pt idx="11">
                  <c:v>33.888391565143003</c:v>
                </c:pt>
                <c:pt idx="12">
                  <c:v>33.875891565143</c:v>
                </c:pt>
                <c:pt idx="13">
                  <c:v>33.863391565142997</c:v>
                </c:pt>
                <c:pt idx="14">
                  <c:v>33.850891565142994</c:v>
                </c:pt>
                <c:pt idx="15">
                  <c:v>33.838391565142992</c:v>
                </c:pt>
                <c:pt idx="16">
                  <c:v>33.825891565142989</c:v>
                </c:pt>
                <c:pt idx="17">
                  <c:v>33.813391565142986</c:v>
                </c:pt>
                <c:pt idx="18">
                  <c:v>33.800891565142983</c:v>
                </c:pt>
                <c:pt idx="19">
                  <c:v>33.78839156514298</c:v>
                </c:pt>
                <c:pt idx="20">
                  <c:v>33.775891565142977</c:v>
                </c:pt>
                <c:pt idx="21">
                  <c:v>33.763391565142975</c:v>
                </c:pt>
                <c:pt idx="22">
                  <c:v>33.750891565142972</c:v>
                </c:pt>
                <c:pt idx="23">
                  <c:v>33.738391565142969</c:v>
                </c:pt>
                <c:pt idx="24">
                  <c:v>33.725891565142966</c:v>
                </c:pt>
                <c:pt idx="25">
                  <c:v>33.713391565142963</c:v>
                </c:pt>
                <c:pt idx="26">
                  <c:v>33.70089156514296</c:v>
                </c:pt>
                <c:pt idx="27">
                  <c:v>33.688391565142958</c:v>
                </c:pt>
                <c:pt idx="28">
                  <c:v>33.675891565142955</c:v>
                </c:pt>
                <c:pt idx="29">
                  <c:v>33.663391565142952</c:v>
                </c:pt>
                <c:pt idx="30">
                  <c:v>33.650891565142949</c:v>
                </c:pt>
                <c:pt idx="31">
                  <c:v>33.638391565142946</c:v>
                </c:pt>
                <c:pt idx="32">
                  <c:v>33.625891565142943</c:v>
                </c:pt>
                <c:pt idx="33">
                  <c:v>33.61339156514294</c:v>
                </c:pt>
                <c:pt idx="34">
                  <c:v>33.600891565142938</c:v>
                </c:pt>
                <c:pt idx="35">
                  <c:v>33.588391565142935</c:v>
                </c:pt>
                <c:pt idx="36">
                  <c:v>33.575891565142932</c:v>
                </c:pt>
                <c:pt idx="37">
                  <c:v>33.563391565142929</c:v>
                </c:pt>
                <c:pt idx="38">
                  <c:v>33.550891565142926</c:v>
                </c:pt>
                <c:pt idx="39">
                  <c:v>33.538391565142923</c:v>
                </c:pt>
                <c:pt idx="40">
                  <c:v>33.525891565142921</c:v>
                </c:pt>
                <c:pt idx="41">
                  <c:v>33.956439653195211</c:v>
                </c:pt>
                <c:pt idx="42">
                  <c:v>33.595343477090736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F44-4E4C-9E8A-CE1382F3E4A7}"/>
            </c:ext>
          </c:extLst>
        </c:ser>
        <c:ser>
          <c:idx val="0"/>
          <c:order val="1"/>
          <c:tx>
            <c:strRef>
              <c:f>'Grafic local'!$P$13</c:f>
              <c:strCache>
                <c:ptCount val="1"/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'Grafic local'!$P$14:$P$56</c:f>
              <c:numCache>
                <c:formatCode>0.00</c:formatCode>
                <c:ptCount val="43"/>
                <c:pt idx="0">
                  <c:v>-13.474203689607311</c:v>
                </c:pt>
                <c:pt idx="1">
                  <c:v>-13.423280367096577</c:v>
                </c:pt>
                <c:pt idx="2">
                  <c:v>-13.372635051968413</c:v>
                </c:pt>
                <c:pt idx="3">
                  <c:v>-13.322263655218185</c:v>
                </c:pt>
                <c:pt idx="4">
                  <c:v>-13.272162188796875</c:v>
                </c:pt>
                <c:pt idx="5">
                  <c:v>-13.22232676214491</c:v>
                </c:pt>
                <c:pt idx="6">
                  <c:v>-13.172753578876488</c:v>
                </c:pt>
                <c:pt idx="7">
                  <c:v>-13.123438933609593</c:v>
                </c:pt>
                <c:pt idx="8">
                  <c:v>-13.074379208929786</c:v>
                </c:pt>
                <c:pt idx="9">
                  <c:v>-13.025570872484945</c:v>
                </c:pt>
                <c:pt idx="10">
                  <c:v>-12.977010474201585</c:v>
                </c:pt>
                <c:pt idx="11">
                  <c:v>-12.928694643617133</c:v>
                </c:pt>
                <c:pt idx="12">
                  <c:v>-12.880620087323232</c:v>
                </c:pt>
                <c:pt idx="13">
                  <c:v>-12.832783586512821</c:v>
                </c:pt>
                <c:pt idx="14">
                  <c:v>-12.785181994628006</c:v>
                </c:pt>
                <c:pt idx="15">
                  <c:v>-12.737812235101153</c:v>
                </c:pt>
                <c:pt idx="16">
                  <c:v>-12.690671299187279</c:v>
                </c:pt>
                <c:pt idx="17">
                  <c:v>-12.643756243881429</c:v>
                </c:pt>
                <c:pt idx="18">
                  <c:v>-12.597064189917928</c:v>
                </c:pt>
                <c:pt idx="19">
                  <c:v>-12.550592319847247</c:v>
                </c:pt>
                <c:pt idx="20">
                  <c:v>-12.504337876186669</c:v>
                </c:pt>
                <c:pt idx="21">
                  <c:v>-12.458298159642231</c:v>
                </c:pt>
                <c:pt idx="22">
                  <c:v>-12.412470527397351</c:v>
                </c:pt>
                <c:pt idx="23">
                  <c:v>-12.366852391465992</c:v>
                </c:pt>
                <c:pt idx="24">
                  <c:v>-12.321441217106807</c:v>
                </c:pt>
                <c:pt idx="25">
                  <c:v>-12.276234521296391</c:v>
                </c:pt>
                <c:pt idx="26">
                  <c:v>-12.231229871258035</c:v>
                </c:pt>
                <c:pt idx="27">
                  <c:v>-12.186424883043998</c:v>
                </c:pt>
                <c:pt idx="28">
                  <c:v>-12.141817220168839</c:v>
                </c:pt>
                <c:pt idx="29">
                  <c:v>-12.09740459229185</c:v>
                </c:pt>
                <c:pt idx="30">
                  <c:v>-12.053184753945699</c:v>
                </c:pt>
                <c:pt idx="31">
                  <c:v>-12.009155503310396</c:v>
                </c:pt>
                <c:pt idx="32">
                  <c:v>-11.965314681029758</c:v>
                </c:pt>
                <c:pt idx="33">
                  <c:v>-11.921660169068588</c:v>
                </c:pt>
                <c:pt idx="34">
                  <c:v>-11.878189889609962</c:v>
                </c:pt>
                <c:pt idx="35">
                  <c:v>-11.834901803989116</c:v>
                </c:pt>
                <c:pt idx="36">
                  <c:v>-11.791793911664254</c:v>
                </c:pt>
                <c:pt idx="37">
                  <c:v>-11.74886424922154</c:v>
                </c:pt>
                <c:pt idx="38">
                  <c:v>-11.706110889413056</c:v>
                </c:pt>
                <c:pt idx="39">
                  <c:v>-11.663531940227642</c:v>
                </c:pt>
                <c:pt idx="40">
                  <c:v>-11.621125543990685</c:v>
                </c:pt>
              </c:numCache>
            </c:numRef>
          </c:xVal>
          <c:yVal>
            <c:numRef>
              <c:f>'Grafic local'!$J$14:$J$56</c:f>
              <c:numCache>
                <c:formatCode>#,##0.00\ _€</c:formatCode>
                <c:ptCount val="43"/>
                <c:pt idx="0">
                  <c:v>34.025891565143034</c:v>
                </c:pt>
                <c:pt idx="1">
                  <c:v>34.013391565143031</c:v>
                </c:pt>
                <c:pt idx="2">
                  <c:v>34.000891565143029</c:v>
                </c:pt>
                <c:pt idx="3">
                  <c:v>33.988391565143026</c:v>
                </c:pt>
                <c:pt idx="4">
                  <c:v>33.975891565143023</c:v>
                </c:pt>
                <c:pt idx="5">
                  <c:v>33.96339156514302</c:v>
                </c:pt>
                <c:pt idx="6">
                  <c:v>33.950891565143017</c:v>
                </c:pt>
                <c:pt idx="7">
                  <c:v>33.938391565143014</c:v>
                </c:pt>
                <c:pt idx="8">
                  <c:v>33.925891565143012</c:v>
                </c:pt>
                <c:pt idx="9">
                  <c:v>33.913391565143009</c:v>
                </c:pt>
                <c:pt idx="10">
                  <c:v>33.900891565143006</c:v>
                </c:pt>
                <c:pt idx="11">
                  <c:v>33.888391565143003</c:v>
                </c:pt>
                <c:pt idx="12">
                  <c:v>33.875891565143</c:v>
                </c:pt>
                <c:pt idx="13">
                  <c:v>33.863391565142997</c:v>
                </c:pt>
                <c:pt idx="14">
                  <c:v>33.850891565142994</c:v>
                </c:pt>
                <c:pt idx="15">
                  <c:v>33.838391565142992</c:v>
                </c:pt>
                <c:pt idx="16">
                  <c:v>33.825891565142989</c:v>
                </c:pt>
                <c:pt idx="17">
                  <c:v>33.813391565142986</c:v>
                </c:pt>
                <c:pt idx="18">
                  <c:v>33.800891565142983</c:v>
                </c:pt>
                <c:pt idx="19">
                  <c:v>33.78839156514298</c:v>
                </c:pt>
                <c:pt idx="20">
                  <c:v>33.775891565142977</c:v>
                </c:pt>
                <c:pt idx="21">
                  <c:v>33.763391565142975</c:v>
                </c:pt>
                <c:pt idx="22">
                  <c:v>33.750891565142972</c:v>
                </c:pt>
                <c:pt idx="23">
                  <c:v>33.738391565142969</c:v>
                </c:pt>
                <c:pt idx="24">
                  <c:v>33.725891565142966</c:v>
                </c:pt>
                <c:pt idx="25">
                  <c:v>33.713391565142963</c:v>
                </c:pt>
                <c:pt idx="26">
                  <c:v>33.70089156514296</c:v>
                </c:pt>
                <c:pt idx="27">
                  <c:v>33.688391565142958</c:v>
                </c:pt>
                <c:pt idx="28">
                  <c:v>33.675891565142955</c:v>
                </c:pt>
                <c:pt idx="29">
                  <c:v>33.663391565142952</c:v>
                </c:pt>
                <c:pt idx="30">
                  <c:v>33.650891565142949</c:v>
                </c:pt>
                <c:pt idx="31">
                  <c:v>33.638391565142946</c:v>
                </c:pt>
                <c:pt idx="32">
                  <c:v>33.625891565142943</c:v>
                </c:pt>
                <c:pt idx="33">
                  <c:v>33.61339156514294</c:v>
                </c:pt>
                <c:pt idx="34">
                  <c:v>33.600891565142938</c:v>
                </c:pt>
                <c:pt idx="35">
                  <c:v>33.588391565142935</c:v>
                </c:pt>
                <c:pt idx="36">
                  <c:v>33.575891565142932</c:v>
                </c:pt>
                <c:pt idx="37">
                  <c:v>33.563391565142929</c:v>
                </c:pt>
                <c:pt idx="38">
                  <c:v>33.550891565142926</c:v>
                </c:pt>
                <c:pt idx="39">
                  <c:v>33.538391565142923</c:v>
                </c:pt>
                <c:pt idx="40">
                  <c:v>33.525891565142921</c:v>
                </c:pt>
                <c:pt idx="41">
                  <c:v>33.956439653195211</c:v>
                </c:pt>
                <c:pt idx="42">
                  <c:v>33.595343477090736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0F44-4E4C-9E8A-CE1382F3E4A7}"/>
            </c:ext>
          </c:extLst>
        </c:ser>
        <c:ser>
          <c:idx val="1"/>
          <c:order val="2"/>
          <c:tx>
            <c:strRef>
              <c:f>'Grafic local'!$Q$13</c:f>
              <c:strCache>
                <c:ptCount val="1"/>
              </c:strCache>
            </c:strRef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xVal>
            <c:numRef>
              <c:f>'Grafic local'!$Q$14:$Q$56</c:f>
              <c:numCache>
                <c:formatCode>0.00</c:formatCode>
                <c:ptCount val="43"/>
                <c:pt idx="0">
                  <c:v>-11.485839348108129</c:v>
                </c:pt>
                <c:pt idx="1">
                  <c:v>-11.49681556604429</c:v>
                </c:pt>
                <c:pt idx="2">
                  <c:v>-11.507783085867175</c:v>
                </c:pt>
                <c:pt idx="3">
                  <c:v>-11.518741917603563</c:v>
                </c:pt>
                <c:pt idx="4">
                  <c:v>-11.529692071261593</c:v>
                </c:pt>
                <c:pt idx="5">
                  <c:v>-11.540633556830187</c:v>
                </c:pt>
                <c:pt idx="6">
                  <c:v>-11.551566384279454</c:v>
                </c:pt>
                <c:pt idx="7">
                  <c:v>-11.562490563560914</c:v>
                </c:pt>
                <c:pt idx="8">
                  <c:v>-11.573406104607272</c:v>
                </c:pt>
                <c:pt idx="9">
                  <c:v>-11.584313017332363</c:v>
                </c:pt>
                <c:pt idx="10">
                  <c:v>-11.595211311631601</c:v>
                </c:pt>
                <c:pt idx="11">
                  <c:v>-11.606100997381759</c:v>
                </c:pt>
                <c:pt idx="12">
                  <c:v>-11.616982084440849</c:v>
                </c:pt>
                <c:pt idx="13">
                  <c:v>-11.627854582648638</c:v>
                </c:pt>
                <c:pt idx="14">
                  <c:v>-11.638718501826361</c:v>
                </c:pt>
                <c:pt idx="15">
                  <c:v>-11.649573851776836</c:v>
                </c:pt>
                <c:pt idx="16">
                  <c:v>-11.660420642284521</c:v>
                </c:pt>
                <c:pt idx="17">
                  <c:v>-11.671258883115513</c:v>
                </c:pt>
                <c:pt idx="18">
                  <c:v>-11.682088584017833</c:v>
                </c:pt>
                <c:pt idx="19">
                  <c:v>-11.692909754721029</c:v>
                </c:pt>
                <c:pt idx="20">
                  <c:v>-11.703722404936627</c:v>
                </c:pt>
                <c:pt idx="21">
                  <c:v>-11.714526544358023</c:v>
                </c:pt>
                <c:pt idx="22">
                  <c:v>-11.725322182660477</c:v>
                </c:pt>
                <c:pt idx="23">
                  <c:v>-11.736109329501346</c:v>
                </c:pt>
                <c:pt idx="24">
                  <c:v>-11.746887994519795</c:v>
                </c:pt>
                <c:pt idx="25">
                  <c:v>-11.75765818733737</c:v>
                </c:pt>
                <c:pt idx="26">
                  <c:v>-11.768419917557424</c:v>
                </c:pt>
                <c:pt idx="27">
                  <c:v>-11.779173194765519</c:v>
                </c:pt>
                <c:pt idx="28">
                  <c:v>-11.789918028529542</c:v>
                </c:pt>
                <c:pt idx="29">
                  <c:v>-11.800654428399582</c:v>
                </c:pt>
                <c:pt idx="30">
                  <c:v>-11.811382403907942</c:v>
                </c:pt>
                <c:pt idx="31">
                  <c:v>-11.822101964569356</c:v>
                </c:pt>
                <c:pt idx="32">
                  <c:v>-11.832813119880939</c:v>
                </c:pt>
                <c:pt idx="33">
                  <c:v>-11.843515879322126</c:v>
                </c:pt>
                <c:pt idx="34">
                  <c:v>-11.854210252354903</c:v>
                </c:pt>
                <c:pt idx="35">
                  <c:v>-11.864896248423804</c:v>
                </c:pt>
                <c:pt idx="36">
                  <c:v>-11.875573876955855</c:v>
                </c:pt>
                <c:pt idx="37">
                  <c:v>-11.886243147360688</c:v>
                </c:pt>
                <c:pt idx="38">
                  <c:v>-11.896904069030711</c:v>
                </c:pt>
                <c:pt idx="39">
                  <c:v>-11.907556651340826</c:v>
                </c:pt>
                <c:pt idx="40">
                  <c:v>-11.918200903648767</c:v>
                </c:pt>
              </c:numCache>
            </c:numRef>
          </c:xVal>
          <c:yVal>
            <c:numRef>
              <c:f>'Grafic local'!$J$14:$J$56</c:f>
              <c:numCache>
                <c:formatCode>#,##0.00\ _€</c:formatCode>
                <c:ptCount val="43"/>
                <c:pt idx="0">
                  <c:v>34.025891565143034</c:v>
                </c:pt>
                <c:pt idx="1">
                  <c:v>34.013391565143031</c:v>
                </c:pt>
                <c:pt idx="2">
                  <c:v>34.000891565143029</c:v>
                </c:pt>
                <c:pt idx="3">
                  <c:v>33.988391565143026</c:v>
                </c:pt>
                <c:pt idx="4">
                  <c:v>33.975891565143023</c:v>
                </c:pt>
                <c:pt idx="5">
                  <c:v>33.96339156514302</c:v>
                </c:pt>
                <c:pt idx="6">
                  <c:v>33.950891565143017</c:v>
                </c:pt>
                <c:pt idx="7">
                  <c:v>33.938391565143014</c:v>
                </c:pt>
                <c:pt idx="8">
                  <c:v>33.925891565143012</c:v>
                </c:pt>
                <c:pt idx="9">
                  <c:v>33.913391565143009</c:v>
                </c:pt>
                <c:pt idx="10">
                  <c:v>33.900891565143006</c:v>
                </c:pt>
                <c:pt idx="11">
                  <c:v>33.888391565143003</c:v>
                </c:pt>
                <c:pt idx="12">
                  <c:v>33.875891565143</c:v>
                </c:pt>
                <c:pt idx="13">
                  <c:v>33.863391565142997</c:v>
                </c:pt>
                <c:pt idx="14">
                  <c:v>33.850891565142994</c:v>
                </c:pt>
                <c:pt idx="15">
                  <c:v>33.838391565142992</c:v>
                </c:pt>
                <c:pt idx="16">
                  <c:v>33.825891565142989</c:v>
                </c:pt>
                <c:pt idx="17">
                  <c:v>33.813391565142986</c:v>
                </c:pt>
                <c:pt idx="18">
                  <c:v>33.800891565142983</c:v>
                </c:pt>
                <c:pt idx="19">
                  <c:v>33.78839156514298</c:v>
                </c:pt>
                <c:pt idx="20">
                  <c:v>33.775891565142977</c:v>
                </c:pt>
                <c:pt idx="21">
                  <c:v>33.763391565142975</c:v>
                </c:pt>
                <c:pt idx="22">
                  <c:v>33.750891565142972</c:v>
                </c:pt>
                <c:pt idx="23">
                  <c:v>33.738391565142969</c:v>
                </c:pt>
                <c:pt idx="24">
                  <c:v>33.725891565142966</c:v>
                </c:pt>
                <c:pt idx="25">
                  <c:v>33.713391565142963</c:v>
                </c:pt>
                <c:pt idx="26">
                  <c:v>33.70089156514296</c:v>
                </c:pt>
                <c:pt idx="27">
                  <c:v>33.688391565142958</c:v>
                </c:pt>
                <c:pt idx="28">
                  <c:v>33.675891565142955</c:v>
                </c:pt>
                <c:pt idx="29">
                  <c:v>33.663391565142952</c:v>
                </c:pt>
                <c:pt idx="30">
                  <c:v>33.650891565142949</c:v>
                </c:pt>
                <c:pt idx="31">
                  <c:v>33.638391565142946</c:v>
                </c:pt>
                <c:pt idx="32">
                  <c:v>33.625891565142943</c:v>
                </c:pt>
                <c:pt idx="33">
                  <c:v>33.61339156514294</c:v>
                </c:pt>
                <c:pt idx="34">
                  <c:v>33.600891565142938</c:v>
                </c:pt>
                <c:pt idx="35">
                  <c:v>33.588391565142935</c:v>
                </c:pt>
                <c:pt idx="36">
                  <c:v>33.575891565142932</c:v>
                </c:pt>
                <c:pt idx="37">
                  <c:v>33.563391565142929</c:v>
                </c:pt>
                <c:pt idx="38">
                  <c:v>33.550891565142926</c:v>
                </c:pt>
                <c:pt idx="39">
                  <c:v>33.538391565142923</c:v>
                </c:pt>
                <c:pt idx="40">
                  <c:v>33.525891565142921</c:v>
                </c:pt>
                <c:pt idx="41">
                  <c:v>33.956439653195211</c:v>
                </c:pt>
                <c:pt idx="42">
                  <c:v>33.595343477090736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0F44-4E4C-9E8A-CE1382F3E4A7}"/>
            </c:ext>
          </c:extLst>
        </c:ser>
        <c:ser>
          <c:idx val="2"/>
          <c:order val="3"/>
          <c:tx>
            <c:strRef>
              <c:f>'Grafic local'!$R$13</c:f>
              <c:strCache>
                <c:ptCount val="1"/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dPt>
            <c:idx val="42"/>
            <c:marker>
              <c:symbol val="none"/>
            </c:marker>
            <c:bubble3D val="0"/>
            <c:spPr>
              <a:ln w="19050" cap="rnd">
                <a:solidFill>
                  <a:srgbClr val="0070C0"/>
                </a:solidFill>
                <a:round/>
                <a:tailEnd type="stealth" w="lg" len="lg"/>
              </a:ln>
              <a:effectLst/>
            </c:spPr>
            <c:extLst>
              <c:ext xmlns:c16="http://schemas.microsoft.com/office/drawing/2014/chart" uri="{C3380CC4-5D6E-409C-BE32-E72D297353CC}">
                <c16:uniqueId val="{00000004-0F44-4E4C-9E8A-CE1382F3E4A7}"/>
              </c:ext>
            </c:extLst>
          </c:dPt>
          <c:xVal>
            <c:numRef>
              <c:f>'Grafic local'!$R$14:$R$56</c:f>
              <c:numCache>
                <c:formatCode>General</c:formatCode>
                <c:ptCount val="43"/>
                <c:pt idx="41" formatCode="0.00">
                  <c:v>-11.782515360587169</c:v>
                </c:pt>
                <c:pt idx="42" formatCode="0.00">
                  <c:v>-11.858954233477355</c:v>
                </c:pt>
              </c:numCache>
            </c:numRef>
          </c:xVal>
          <c:yVal>
            <c:numRef>
              <c:f>'Grafic local'!$J$14:$J$56</c:f>
              <c:numCache>
                <c:formatCode>#,##0.00\ _€</c:formatCode>
                <c:ptCount val="43"/>
                <c:pt idx="0">
                  <c:v>34.025891565143034</c:v>
                </c:pt>
                <c:pt idx="1">
                  <c:v>34.013391565143031</c:v>
                </c:pt>
                <c:pt idx="2">
                  <c:v>34.000891565143029</c:v>
                </c:pt>
                <c:pt idx="3">
                  <c:v>33.988391565143026</c:v>
                </c:pt>
                <c:pt idx="4">
                  <c:v>33.975891565143023</c:v>
                </c:pt>
                <c:pt idx="5">
                  <c:v>33.96339156514302</c:v>
                </c:pt>
                <c:pt idx="6">
                  <c:v>33.950891565143017</c:v>
                </c:pt>
                <c:pt idx="7">
                  <c:v>33.938391565143014</c:v>
                </c:pt>
                <c:pt idx="8">
                  <c:v>33.925891565143012</c:v>
                </c:pt>
                <c:pt idx="9">
                  <c:v>33.913391565143009</c:v>
                </c:pt>
                <c:pt idx="10">
                  <c:v>33.900891565143006</c:v>
                </c:pt>
                <c:pt idx="11">
                  <c:v>33.888391565143003</c:v>
                </c:pt>
                <c:pt idx="12">
                  <c:v>33.875891565143</c:v>
                </c:pt>
                <c:pt idx="13">
                  <c:v>33.863391565142997</c:v>
                </c:pt>
                <c:pt idx="14">
                  <c:v>33.850891565142994</c:v>
                </c:pt>
                <c:pt idx="15">
                  <c:v>33.838391565142992</c:v>
                </c:pt>
                <c:pt idx="16">
                  <c:v>33.825891565142989</c:v>
                </c:pt>
                <c:pt idx="17">
                  <c:v>33.813391565142986</c:v>
                </c:pt>
                <c:pt idx="18">
                  <c:v>33.800891565142983</c:v>
                </c:pt>
                <c:pt idx="19">
                  <c:v>33.78839156514298</c:v>
                </c:pt>
                <c:pt idx="20">
                  <c:v>33.775891565142977</c:v>
                </c:pt>
                <c:pt idx="21">
                  <c:v>33.763391565142975</c:v>
                </c:pt>
                <c:pt idx="22">
                  <c:v>33.750891565142972</c:v>
                </c:pt>
                <c:pt idx="23">
                  <c:v>33.738391565142969</c:v>
                </c:pt>
                <c:pt idx="24">
                  <c:v>33.725891565142966</c:v>
                </c:pt>
                <c:pt idx="25">
                  <c:v>33.713391565142963</c:v>
                </c:pt>
                <c:pt idx="26">
                  <c:v>33.70089156514296</c:v>
                </c:pt>
                <c:pt idx="27">
                  <c:v>33.688391565142958</c:v>
                </c:pt>
                <c:pt idx="28">
                  <c:v>33.675891565142955</c:v>
                </c:pt>
                <c:pt idx="29">
                  <c:v>33.663391565142952</c:v>
                </c:pt>
                <c:pt idx="30">
                  <c:v>33.650891565142949</c:v>
                </c:pt>
                <c:pt idx="31">
                  <c:v>33.638391565142946</c:v>
                </c:pt>
                <c:pt idx="32">
                  <c:v>33.625891565142943</c:v>
                </c:pt>
                <c:pt idx="33">
                  <c:v>33.61339156514294</c:v>
                </c:pt>
                <c:pt idx="34">
                  <c:v>33.600891565142938</c:v>
                </c:pt>
                <c:pt idx="35">
                  <c:v>33.588391565142935</c:v>
                </c:pt>
                <c:pt idx="36">
                  <c:v>33.575891565142932</c:v>
                </c:pt>
                <c:pt idx="37">
                  <c:v>33.563391565142929</c:v>
                </c:pt>
                <c:pt idx="38">
                  <c:v>33.550891565142926</c:v>
                </c:pt>
                <c:pt idx="39">
                  <c:v>33.538391565142923</c:v>
                </c:pt>
                <c:pt idx="40">
                  <c:v>33.525891565142921</c:v>
                </c:pt>
                <c:pt idx="41">
                  <c:v>33.956439653195211</c:v>
                </c:pt>
                <c:pt idx="42">
                  <c:v>33.595343477090736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0F44-4E4C-9E8A-CE1382F3E4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85045856"/>
        <c:axId val="1385133584"/>
      </c:scatterChart>
      <c:valAx>
        <c:axId val="13850458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.0\°_ ;[Red]\-0.0\°\ 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1385133584"/>
        <c:crosses val="autoZero"/>
        <c:crossBetween val="midCat"/>
        <c:majorUnit val="0.5"/>
        <c:minorUnit val="0.1"/>
      </c:valAx>
      <c:valAx>
        <c:axId val="13851335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.0\°_ ;[Red]\-0.0\°\ 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1385045856"/>
        <c:crosses val="autoZero"/>
        <c:crossBetween val="midCat"/>
        <c:majorUnit val="0.16660000000000003"/>
        <c:minorUnit val="0.16660000000000003"/>
      </c:valAx>
      <c:spPr>
        <a:noFill/>
        <a:ln>
          <a:noFill/>
        </a:ln>
        <a:effectLst/>
      </c:spPr>
    </c:plotArea>
    <c:plotVisOnly val="0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22225" cap="flat" cmpd="sng" algn="ctr">
      <a:solidFill>
        <a:schemeClr val="bg2">
          <a:lumMod val="90000"/>
        </a:schemeClr>
      </a:solidFill>
      <a:round/>
    </a:ln>
    <a:effectLst>
      <a:outerShdw blurRad="50800" dist="50800" dir="5400000" algn="ctr" rotWithShape="0">
        <a:schemeClr val="bg1"/>
      </a:outerShdw>
    </a:effectLst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0882708810334875E-2"/>
          <c:y val="1.6340839581893335E-2"/>
          <c:w val="0.86166452597680609"/>
          <c:h val="0.96264283025484187"/>
        </c:manualLayout>
      </c:layout>
      <c:scatterChart>
        <c:scatterStyle val="smoothMarker"/>
        <c:varyColors val="0"/>
        <c:ser>
          <c:idx val="0"/>
          <c:order val="0"/>
          <c:tx>
            <c:v>lamda 1s</c:v>
          </c:tx>
          <c:spPr>
            <a:ln w="19050" cap="rnd" cmpd="sng">
              <a:solidFill>
                <a:schemeClr val="accent6">
                  <a:lumMod val="40000"/>
                  <a:lumOff val="60000"/>
                </a:schemeClr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'Grafic global'!$U$5:$U$190</c:f>
              <c:numCache>
                <c:formatCode>0.00</c:formatCode>
                <c:ptCount val="186"/>
                <c:pt idx="0">
                  <c:v>30.302628721247402</c:v>
                </c:pt>
                <c:pt idx="1">
                  <c:v>30.302628721247402</c:v>
                </c:pt>
                <c:pt idx="2">
                  <c:v>37.665185395720755</c:v>
                </c:pt>
                <c:pt idx="3">
                  <c:v>41.643841087146996</c:v>
                </c:pt>
                <c:pt idx="4">
                  <c:v>44.559484934240004</c:v>
                </c:pt>
                <c:pt idx="5">
                  <c:v>46.943492704068774</c:v>
                </c:pt>
                <c:pt idx="6">
                  <c:v>48.989986788632621</c:v>
                </c:pt>
                <c:pt idx="7">
                  <c:v>50.796441000988523</c:v>
                </c:pt>
                <c:pt idx="8">
                  <c:v>52.420253721475433</c:v>
                </c:pt>
                <c:pt idx="9">
                  <c:v>53.898712852200447</c:v>
                </c:pt>
                <c:pt idx="10">
                  <c:v>55.257724679141461</c:v>
                </c:pt>
                <c:pt idx="11">
                  <c:v>56.516191570886633</c:v>
                </c:pt>
                <c:pt idx="12">
                  <c:v>57.68843044678232</c:v>
                </c:pt>
                <c:pt idx="13">
                  <c:v>58.785609061083392</c:v>
                </c:pt>
                <c:pt idx="14">
                  <c:v>59.816648397932624</c:v>
                </c:pt>
                <c:pt idx="15">
                  <c:v>60.788815842244162</c:v>
                </c:pt>
                <c:pt idx="16">
                  <c:v>61.708129834848137</c:v>
                </c:pt>
                <c:pt idx="17">
                  <c:v>62.579644634556757</c:v>
                </c:pt>
                <c:pt idx="18">
                  <c:v>63.407656069785332</c:v>
                </c:pt>
                <c:pt idx="19">
                  <c:v>64.195853617887508</c:v>
                </c:pt>
                <c:pt idx="20">
                  <c:v>64.947435056646157</c:v>
                </c:pt>
                <c:pt idx="21">
                  <c:v>65.665194412075664</c:v>
                </c:pt>
                <c:pt idx="22">
                  <c:v>66.351590466302923</c:v>
                </c:pt>
                <c:pt idx="23">
                  <c:v>67.008800858161578</c:v>
                </c:pt>
                <c:pt idx="24">
                  <c:v>67.638765334284471</c:v>
                </c:pt>
                <c:pt idx="25">
                  <c:v>68.243220711638457</c:v>
                </c:pt>
                <c:pt idx="26">
                  <c:v>68.823729425131376</c:v>
                </c:pt>
                <c:pt idx="27">
                  <c:v>69.381703051404088</c:v>
                </c:pt>
                <c:pt idx="28">
                  <c:v>69.918421855611996</c:v>
                </c:pt>
                <c:pt idx="29">
                  <c:v>70.435051158622173</c:v>
                </c:pt>
                <c:pt idx="30">
                  <c:v>70.932655138955283</c:v>
                </c:pt>
                <c:pt idx="31">
                  <c:v>71.412208547674936</c:v>
                </c:pt>
                <c:pt idx="32">
                  <c:v>71.874606712047239</c:v>
                </c:pt>
                <c:pt idx="33">
                  <c:v>72.320674125962114</c:v>
                </c:pt>
                <c:pt idx="34">
                  <c:v>72.751171865357946</c:v>
                </c:pt>
                <c:pt idx="35">
                  <c:v>73.166804020586369</c:v>
                </c:pt>
                <c:pt idx="36">
                  <c:v>73.568223301468834</c:v>
                </c:pt>
                <c:pt idx="37">
                  <c:v>73.956035942281915</c:v>
                </c:pt>
                <c:pt idx="38">
                  <c:v>74.330806011275797</c:v>
                </c:pt>
                <c:pt idx="39">
                  <c:v>74.693059211231002</c:v>
                </c:pt>
                <c:pt idx="40">
                  <c:v>75.043286242996487</c:v>
                </c:pt>
                <c:pt idx="41">
                  <c:v>75.381945792151953</c:v>
                </c:pt>
                <c:pt idx="42">
                  <c:v>75.709467189327711</c:v>
                </c:pt>
                <c:pt idx="43">
                  <c:v>76.026252786840416</c:v>
                </c:pt>
                <c:pt idx="44">
                  <c:v>76.332680087813799</c:v>
                </c:pt>
                <c:pt idx="45">
                  <c:v>76.629103658585393</c:v>
                </c:pt>
                <c:pt idx="46">
                  <c:v>76.915856850731757</c:v>
                </c:pt>
                <c:pt idx="47">
                  <c:v>77.193253355309935</c:v>
                </c:pt>
                <c:pt idx="48">
                  <c:v>77.461588608781994</c:v>
                </c:pt>
                <c:pt idx="49">
                  <c:v>77.721141067445558</c:v>
                </c:pt>
                <c:pt idx="50">
                  <c:v>77.972173364961236</c:v>
                </c:pt>
                <c:pt idx="51">
                  <c:v>78.214933365666809</c:v>
                </c:pt>
                <c:pt idx="52">
                  <c:v>78.449655124753008</c:v>
                </c:pt>
                <c:pt idx="53">
                  <c:v>78.676559764989406</c:v>
                </c:pt>
                <c:pt idx="54">
                  <c:v>78.895856278501299</c:v>
                </c:pt>
                <c:pt idx="55">
                  <c:v>79.107742261076908</c:v>
                </c:pt>
                <c:pt idx="56">
                  <c:v>79.312404585598472</c:v>
                </c:pt>
                <c:pt idx="57">
                  <c:v>79.51002002042776</c:v>
                </c:pt>
                <c:pt idx="58">
                  <c:v>79.70075579790938</c:v>
                </c:pt>
                <c:pt idx="59">
                  <c:v>79.884770137577789</c:v>
                </c:pt>
                <c:pt idx="60">
                  <c:v>80.062212728146278</c:v>
                </c:pt>
                <c:pt idx="61">
                  <c:v>80.233225171915194</c:v>
                </c:pt>
                <c:pt idx="62">
                  <c:v>80.397941394843599</c:v>
                </c:pt>
                <c:pt idx="63">
                  <c:v>80.556488025190959</c:v>
                </c:pt>
                <c:pt idx="64">
                  <c:v>80.708984743328756</c:v>
                </c:pt>
                <c:pt idx="65">
                  <c:v>80.855544605056991</c:v>
                </c:pt>
                <c:pt idx="66">
                  <c:v>80.996274340523314</c:v>
                </c:pt>
                <c:pt idx="67">
                  <c:v>81.131274630630003</c:v>
                </c:pt>
                <c:pt idx="68">
                  <c:v>81.26064036262909</c:v>
                </c:pt>
                <c:pt idx="69">
                  <c:v>81.384460866436484</c:v>
                </c:pt>
                <c:pt idx="70">
                  <c:v>81.502820133045759</c:v>
                </c:pt>
                <c:pt idx="71">
                  <c:v>81.61579701629023</c:v>
                </c:pt>
                <c:pt idx="72">
                  <c:v>81.723465419077741</c:v>
                </c:pt>
                <c:pt idx="73">
                  <c:v>81.825894465115766</c:v>
                </c:pt>
                <c:pt idx="74">
                  <c:v>81.92314865704617</c:v>
                </c:pt>
                <c:pt idx="75">
                  <c:v>82.015288021817582</c:v>
                </c:pt>
                <c:pt idx="76">
                  <c:v>82.102368244044271</c:v>
                </c:pt>
                <c:pt idx="77">
                  <c:v>82.184440788026336</c:v>
                </c:pt>
                <c:pt idx="78">
                  <c:v>82.261553009037016</c:v>
                </c:pt>
                <c:pt idx="79">
                  <c:v>82.333748254422915</c:v>
                </c:pt>
                <c:pt idx="80">
                  <c:v>82.401065955004015</c:v>
                </c:pt>
                <c:pt idx="81">
                  <c:v>82.463541707209629</c:v>
                </c:pt>
                <c:pt idx="82">
                  <c:v>82.521207346335927</c:v>
                </c:pt>
                <c:pt idx="83">
                  <c:v>82.574091011266034</c:v>
                </c:pt>
                <c:pt idx="84">
                  <c:v>82.622217200950217</c:v>
                </c:pt>
                <c:pt idx="85">
                  <c:v>82.665606822905659</c:v>
                </c:pt>
                <c:pt idx="86">
                  <c:v>82.704277233953064</c:v>
                </c:pt>
                <c:pt idx="87">
                  <c:v>82.738242273376954</c:v>
                </c:pt>
                <c:pt idx="88">
                  <c:v>82.767512288655155</c:v>
                </c:pt>
                <c:pt idx="89">
                  <c:v>82.792094153876803</c:v>
                </c:pt>
                <c:pt idx="90">
                  <c:v>82.811991280928055</c:v>
                </c:pt>
                <c:pt idx="91">
                  <c:v>82.827203623499599</c:v>
                </c:pt>
                <c:pt idx="92">
                  <c:v>82.837727673933557</c:v>
                </c:pt>
                <c:pt idx="93">
                  <c:v>82.843556452899691</c:v>
                </c:pt>
                <c:pt idx="94">
                  <c:v>82.84467949185688</c:v>
                </c:pt>
                <c:pt idx="95">
                  <c:v>82.841082808226417</c:v>
                </c:pt>
                <c:pt idx="96">
                  <c:v>82.832748873169578</c:v>
                </c:pt>
                <c:pt idx="97">
                  <c:v>82.81965657183116</c:v>
                </c:pt>
                <c:pt idx="98">
                  <c:v>82.801781155874494</c:v>
                </c:pt>
                <c:pt idx="99">
                  <c:v>82.779094188099577</c:v>
                </c:pt>
                <c:pt idx="100">
                  <c:v>82.751563478899243</c:v>
                </c:pt>
                <c:pt idx="101">
                  <c:v>82.719153014267533</c:v>
                </c:pt>
                <c:pt idx="102">
                  <c:v>82.681822875036346</c:v>
                </c:pt>
                <c:pt idx="103">
                  <c:v>82.639529146969892</c:v>
                </c:pt>
                <c:pt idx="104">
                  <c:v>82.59222382130082</c:v>
                </c:pt>
                <c:pt idx="105">
                  <c:v>82.539854685243427</c:v>
                </c:pt>
                <c:pt idx="106">
                  <c:v>82.482365201960704</c:v>
                </c:pt>
                <c:pt idx="107">
                  <c:v>82.419694379409464</c:v>
                </c:pt>
                <c:pt idx="108">
                  <c:v>82.351776627417962</c:v>
                </c:pt>
                <c:pt idx="109">
                  <c:v>82.278541602285941</c:v>
                </c:pt>
                <c:pt idx="110">
                  <c:v>82.199914038118322</c:v>
                </c:pt>
                <c:pt idx="111">
                  <c:v>82.115813564020357</c:v>
                </c:pt>
                <c:pt idx="112">
                  <c:v>82.026154506193166</c:v>
                </c:pt>
                <c:pt idx="113">
                  <c:v>81.930845673863587</c:v>
                </c:pt>
                <c:pt idx="114">
                  <c:v>81.829790127874617</c:v>
                </c:pt>
                <c:pt idx="115">
                  <c:v>81.722884930635018</c:v>
                </c:pt>
                <c:pt idx="116">
                  <c:v>81.610020875993712</c:v>
                </c:pt>
                <c:pt idx="117">
                  <c:v>81.491082197446417</c:v>
                </c:pt>
                <c:pt idx="118">
                  <c:v>81.365946252916217</c:v>
                </c:pt>
                <c:pt idx="119">
                  <c:v>81.234483184154726</c:v>
                </c:pt>
                <c:pt idx="120">
                  <c:v>81.09655554859944</c:v>
                </c:pt>
                <c:pt idx="121">
                  <c:v>80.952017921281026</c:v>
                </c:pt>
                <c:pt idx="122">
                  <c:v>80.800716464103516</c:v>
                </c:pt>
                <c:pt idx="123">
                  <c:v>80.642488459516585</c:v>
                </c:pt>
                <c:pt idx="124">
                  <c:v>80.477161805252138</c:v>
                </c:pt>
                <c:pt idx="125">
                  <c:v>80.304554466406671</c:v>
                </c:pt>
                <c:pt idx="126">
                  <c:v>80.124473880707228</c:v>
                </c:pt>
                <c:pt idx="127">
                  <c:v>79.936716312290798</c:v>
                </c:pt>
                <c:pt idx="128">
                  <c:v>79.741066148749042</c:v>
                </c:pt>
                <c:pt idx="129">
                  <c:v>79.537295135529405</c:v>
                </c:pt>
                <c:pt idx="130">
                  <c:v>79.325161541022112</c:v>
                </c:pt>
                <c:pt idx="131">
                  <c:v>79.104409244787973</c:v>
                </c:pt>
                <c:pt idx="132">
                  <c:v>78.87476674037373</c:v>
                </c:pt>
                <c:pt idx="133">
                  <c:v>78.635946042989417</c:v>
                </c:pt>
                <c:pt idx="134">
                  <c:v>78.387641490966928</c:v>
                </c:pt>
                <c:pt idx="135">
                  <c:v>78.12952842833613</c:v>
                </c:pt>
                <c:pt idx="136">
                  <c:v>77.861261754002726</c:v>
                </c:pt>
                <c:pt idx="137">
                  <c:v>77.582474320846302</c:v>
                </c:pt>
                <c:pt idx="138">
                  <c:v>77.29277516549763</c:v>
                </c:pt>
                <c:pt idx="139">
                  <c:v>76.991747546538306</c:v>
                </c:pt>
                <c:pt idx="140">
                  <c:v>76.678946765278965</c:v>
                </c:pt>
                <c:pt idx="141">
                  <c:v>76.353897739005163</c:v>
                </c:pt>
                <c:pt idx="142">
                  <c:v>76.016092291468624</c:v>
                </c:pt>
                <c:pt idx="143">
                  <c:v>75.664986119255673</c:v>
                </c:pt>
                <c:pt idx="144">
                  <c:v>75.299995385245609</c:v>
                </c:pt>
                <c:pt idx="145">
                  <c:v>74.920492881350981</c:v>
                </c:pt>
                <c:pt idx="146">
                  <c:v>74.525803691732733</c:v>
                </c:pt>
                <c:pt idx="147">
                  <c:v>74.115200274165602</c:v>
                </c:pt>
                <c:pt idx="148">
                  <c:v>73.687896860540604</c:v>
                </c:pt>
                <c:pt idx="149">
                  <c:v>73.243043056742408</c:v>
                </c:pt>
                <c:pt idx="150">
                  <c:v>72.779716496173478</c:v>
                </c:pt>
                <c:pt idx="151">
                  <c:v>72.296914368466901</c:v>
                </c:pt>
                <c:pt idx="152">
                  <c:v>71.793543603356852</c:v>
                </c:pt>
                <c:pt idx="153">
                  <c:v>71.268409436441459</c:v>
                </c:pt>
                <c:pt idx="154">
                  <c:v>70.720202014803817</c:v>
                </c:pt>
                <c:pt idx="155">
                  <c:v>70.147480610789444</c:v>
                </c:pt>
                <c:pt idx="156">
                  <c:v>69.54865489414243</c:v>
                </c:pt>
                <c:pt idx="157">
                  <c:v>68.921962555456787</c:v>
                </c:pt>
                <c:pt idx="158">
                  <c:v>68.265442362076442</c:v>
                </c:pt>
                <c:pt idx="159">
                  <c:v>67.576901438561322</c:v>
                </c:pt>
                <c:pt idx="160">
                  <c:v>66.853875164012777</c:v>
                </c:pt>
                <c:pt idx="161">
                  <c:v>66.093577516987125</c:v>
                </c:pt>
                <c:pt idx="162">
                  <c:v>65.292838896782541</c:v>
                </c:pt>
                <c:pt idx="163">
                  <c:v>64.448027283468775</c:v>
                </c:pt>
                <c:pt idx="164">
                  <c:v>63.554946867644844</c:v>
                </c:pt>
                <c:pt idx="165">
                  <c:v>62.608705651954381</c:v>
                </c:pt>
                <c:pt idx="166">
                  <c:v>61.60353943152495</c:v>
                </c:pt>
                <c:pt idx="167">
                  <c:v>60.532572995796727</c:v>
                </c:pt>
                <c:pt idx="168">
                  <c:v>59.387488517763245</c:v>
                </c:pt>
                <c:pt idx="169">
                  <c:v>58.158052379243486</c:v>
                </c:pt>
                <c:pt idx="170">
                  <c:v>56.831418010284551</c:v>
                </c:pt>
                <c:pt idx="171">
                  <c:v>55.391058487898249</c:v>
                </c:pt>
                <c:pt idx="172">
                  <c:v>53.815053723010806</c:v>
                </c:pt>
                <c:pt idx="173">
                  <c:v>52.073175601093396</c:v>
                </c:pt>
                <c:pt idx="174">
                  <c:v>50.121536052367105</c:v>
                </c:pt>
                <c:pt idx="175">
                  <c:v>47.891699945757011</c:v>
                </c:pt>
                <c:pt idx="176">
                  <c:v>45.26502132840352</c:v>
                </c:pt>
                <c:pt idx="177">
                  <c:v>41.996072710131727</c:v>
                </c:pt>
                <c:pt idx="178">
                  <c:v>37.345297760381357</c:v>
                </c:pt>
                <c:pt idx="179">
                  <c:v>30.402594681489575</c:v>
                </c:pt>
                <c:pt idx="180">
                  <c:v>30.402594681489575</c:v>
                </c:pt>
                <c:pt idx="181">
                  <c:v>30.402594681489575</c:v>
                </c:pt>
                <c:pt idx="182">
                  <c:v>30.402594681489575</c:v>
                </c:pt>
                <c:pt idx="183">
                  <c:v>30.402594681489575</c:v>
                </c:pt>
                <c:pt idx="184">
                  <c:v>30.402594681489575</c:v>
                </c:pt>
                <c:pt idx="185">
                  <c:v>30.402594681489575</c:v>
                </c:pt>
              </c:numCache>
            </c:numRef>
          </c:xVal>
          <c:yVal>
            <c:numRef>
              <c:f>'Grafic global'!$M$5:$M$190</c:f>
              <c:numCache>
                <c:formatCode>0.00\°;[Red]0.00\°</c:formatCode>
                <c:ptCount val="186"/>
                <c:pt idx="0">
                  <c:v>50.236037975847395</c:v>
                </c:pt>
                <c:pt idx="1">
                  <c:v>50.236037975847395</c:v>
                </c:pt>
                <c:pt idx="2">
                  <c:v>49.732210285908657</c:v>
                </c:pt>
                <c:pt idx="3">
                  <c:v>49.128232746747656</c:v>
                </c:pt>
                <c:pt idx="4">
                  <c:v>48.524255207586656</c:v>
                </c:pt>
                <c:pt idx="5">
                  <c:v>47.920277668425655</c:v>
                </c:pt>
                <c:pt idx="6">
                  <c:v>47.316300129264654</c:v>
                </c:pt>
                <c:pt idx="7">
                  <c:v>46.712322590103653</c:v>
                </c:pt>
                <c:pt idx="8">
                  <c:v>46.108345050942653</c:v>
                </c:pt>
                <c:pt idx="9">
                  <c:v>45.504367511781652</c:v>
                </c:pt>
                <c:pt idx="10">
                  <c:v>44.900389972620651</c:v>
                </c:pt>
                <c:pt idx="11">
                  <c:v>44.296412433459651</c:v>
                </c:pt>
                <c:pt idx="12">
                  <c:v>43.69243489429865</c:v>
                </c:pt>
                <c:pt idx="13">
                  <c:v>43.088457355137649</c:v>
                </c:pt>
                <c:pt idx="14">
                  <c:v>42.484479815976648</c:v>
                </c:pt>
                <c:pt idx="15">
                  <c:v>41.880502276815648</c:v>
                </c:pt>
                <c:pt idx="16">
                  <c:v>41.276524737654647</c:v>
                </c:pt>
                <c:pt idx="17">
                  <c:v>40.672547198493646</c:v>
                </c:pt>
                <c:pt idx="18">
                  <c:v>40.068569659332645</c:v>
                </c:pt>
                <c:pt idx="19">
                  <c:v>39.464592120171645</c:v>
                </c:pt>
                <c:pt idx="20">
                  <c:v>38.860614581010644</c:v>
                </c:pt>
                <c:pt idx="21">
                  <c:v>38.256637041849643</c:v>
                </c:pt>
                <c:pt idx="22">
                  <c:v>37.652659502688643</c:v>
                </c:pt>
                <c:pt idx="23">
                  <c:v>37.048681963527642</c:v>
                </c:pt>
                <c:pt idx="24">
                  <c:v>36.444704424366641</c:v>
                </c:pt>
                <c:pt idx="25">
                  <c:v>35.84072688520564</c:v>
                </c:pt>
                <c:pt idx="26">
                  <c:v>35.23674934604464</c:v>
                </c:pt>
                <c:pt idx="27">
                  <c:v>34.632771806883639</c:v>
                </c:pt>
                <c:pt idx="28">
                  <c:v>34.028794267722638</c:v>
                </c:pt>
                <c:pt idx="29">
                  <c:v>33.424816728561638</c:v>
                </c:pt>
                <c:pt idx="30">
                  <c:v>32.820839189400637</c:v>
                </c:pt>
                <c:pt idx="31">
                  <c:v>32.216861650239636</c:v>
                </c:pt>
                <c:pt idx="32">
                  <c:v>31.612884111078632</c:v>
                </c:pt>
                <c:pt idx="33">
                  <c:v>31.008906571917628</c:v>
                </c:pt>
                <c:pt idx="34">
                  <c:v>30.404929032756623</c:v>
                </c:pt>
                <c:pt idx="35">
                  <c:v>29.800951493595619</c:v>
                </c:pt>
                <c:pt idx="36">
                  <c:v>29.196973954434615</c:v>
                </c:pt>
                <c:pt idx="37">
                  <c:v>28.59299641527361</c:v>
                </c:pt>
                <c:pt idx="38">
                  <c:v>27.989018876112606</c:v>
                </c:pt>
                <c:pt idx="39">
                  <c:v>27.385041336951602</c:v>
                </c:pt>
                <c:pt idx="40">
                  <c:v>26.781063797790598</c:v>
                </c:pt>
                <c:pt idx="41">
                  <c:v>26.177086258629593</c:v>
                </c:pt>
                <c:pt idx="42">
                  <c:v>25.573108719468589</c:v>
                </c:pt>
                <c:pt idx="43">
                  <c:v>24.969131180307585</c:v>
                </c:pt>
                <c:pt idx="44">
                  <c:v>24.365153641146581</c:v>
                </c:pt>
                <c:pt idx="45">
                  <c:v>23.761176101985576</c:v>
                </c:pt>
                <c:pt idx="46">
                  <c:v>23.157198562824572</c:v>
                </c:pt>
                <c:pt idx="47">
                  <c:v>22.553221023663568</c:v>
                </c:pt>
                <c:pt idx="48">
                  <c:v>21.949243484502563</c:v>
                </c:pt>
                <c:pt idx="49">
                  <c:v>21.345265945341559</c:v>
                </c:pt>
                <c:pt idx="50">
                  <c:v>20.741288406180555</c:v>
                </c:pt>
                <c:pt idx="51">
                  <c:v>20.137310867019551</c:v>
                </c:pt>
                <c:pt idx="52">
                  <c:v>19.533333327858546</c:v>
                </c:pt>
                <c:pt idx="53">
                  <c:v>18.929355788697542</c:v>
                </c:pt>
                <c:pt idx="54">
                  <c:v>18.325378249536538</c:v>
                </c:pt>
                <c:pt idx="55">
                  <c:v>17.721400710375534</c:v>
                </c:pt>
                <c:pt idx="56">
                  <c:v>17.117423171214529</c:v>
                </c:pt>
                <c:pt idx="57">
                  <c:v>16.513445632053525</c:v>
                </c:pt>
                <c:pt idx="58">
                  <c:v>15.909468092892521</c:v>
                </c:pt>
                <c:pt idx="59">
                  <c:v>15.305490553731516</c:v>
                </c:pt>
                <c:pt idx="60">
                  <c:v>14.701513014570512</c:v>
                </c:pt>
                <c:pt idx="61">
                  <c:v>14.097535475409508</c:v>
                </c:pt>
                <c:pt idx="62">
                  <c:v>13.493557936248504</c:v>
                </c:pt>
                <c:pt idx="63">
                  <c:v>12.889580397087499</c:v>
                </c:pt>
                <c:pt idx="64">
                  <c:v>12.285602857926495</c:v>
                </c:pt>
                <c:pt idx="65">
                  <c:v>11.681625318765491</c:v>
                </c:pt>
                <c:pt idx="66">
                  <c:v>11.077647779604487</c:v>
                </c:pt>
                <c:pt idx="67">
                  <c:v>10.473670240443482</c:v>
                </c:pt>
                <c:pt idx="68">
                  <c:v>9.869692701282478</c:v>
                </c:pt>
                <c:pt idx="69">
                  <c:v>9.2657151621214737</c:v>
                </c:pt>
                <c:pt idx="70">
                  <c:v>8.6617376229604695</c:v>
                </c:pt>
                <c:pt idx="71">
                  <c:v>8.0577600837994652</c:v>
                </c:pt>
                <c:pt idx="72">
                  <c:v>7.4537825446384618</c:v>
                </c:pt>
                <c:pt idx="73">
                  <c:v>6.8498050054774584</c:v>
                </c:pt>
                <c:pt idx="74">
                  <c:v>6.245827466316455</c:v>
                </c:pt>
                <c:pt idx="75">
                  <c:v>5.6418499271554516</c:v>
                </c:pt>
                <c:pt idx="76">
                  <c:v>5.0378723879944483</c:v>
                </c:pt>
                <c:pt idx="77">
                  <c:v>4.4338948488334449</c:v>
                </c:pt>
                <c:pt idx="78">
                  <c:v>3.829917309672441</c:v>
                </c:pt>
                <c:pt idx="79">
                  <c:v>3.2259397705114372</c:v>
                </c:pt>
                <c:pt idx="80">
                  <c:v>2.6219622313504334</c:v>
                </c:pt>
                <c:pt idx="81">
                  <c:v>2.0179846921894296</c:v>
                </c:pt>
                <c:pt idx="82">
                  <c:v>1.4140071530284257</c:v>
                </c:pt>
                <c:pt idx="83">
                  <c:v>0.810029613867422</c:v>
                </c:pt>
                <c:pt idx="84">
                  <c:v>0.20605207470641829</c:v>
                </c:pt>
                <c:pt idx="85">
                  <c:v>-0.39792546445458543</c:v>
                </c:pt>
                <c:pt idx="86">
                  <c:v>-1.0019030036155891</c:v>
                </c:pt>
                <c:pt idx="87">
                  <c:v>-1.605880542776593</c:v>
                </c:pt>
                <c:pt idx="88">
                  <c:v>-2.2098580819375968</c:v>
                </c:pt>
                <c:pt idx="89">
                  <c:v>-2.8138356210986006</c:v>
                </c:pt>
                <c:pt idx="90">
                  <c:v>-3.4178131602596045</c:v>
                </c:pt>
                <c:pt idx="91">
                  <c:v>-4.0217906994206079</c:v>
                </c:pt>
                <c:pt idx="92">
                  <c:v>-4.6257682385816112</c:v>
                </c:pt>
                <c:pt idx="93">
                  <c:v>-5.2297457777426146</c:v>
                </c:pt>
                <c:pt idx="94">
                  <c:v>-5.833723316903618</c:v>
                </c:pt>
                <c:pt idx="95">
                  <c:v>-6.4377008560646214</c:v>
                </c:pt>
                <c:pt idx="96">
                  <c:v>-7.0416783952256248</c:v>
                </c:pt>
                <c:pt idx="97">
                  <c:v>-7.6456559343866282</c:v>
                </c:pt>
                <c:pt idx="98">
                  <c:v>-8.2496334735476324</c:v>
                </c:pt>
                <c:pt idx="99">
                  <c:v>-8.8536110127086367</c:v>
                </c:pt>
                <c:pt idx="100">
                  <c:v>-9.457588551869641</c:v>
                </c:pt>
                <c:pt idx="101">
                  <c:v>-10.061566091030645</c:v>
                </c:pt>
                <c:pt idx="102">
                  <c:v>-10.66554363019165</c:v>
                </c:pt>
                <c:pt idx="103">
                  <c:v>-11.269521169352654</c:v>
                </c:pt>
                <c:pt idx="104">
                  <c:v>-11.873498708513658</c:v>
                </c:pt>
                <c:pt idx="105">
                  <c:v>-12.477476247674662</c:v>
                </c:pt>
                <c:pt idx="106">
                  <c:v>-13.081453786835667</c:v>
                </c:pt>
                <c:pt idx="107">
                  <c:v>-13.685431325996671</c:v>
                </c:pt>
                <c:pt idx="108">
                  <c:v>-14.289408865157675</c:v>
                </c:pt>
                <c:pt idx="109">
                  <c:v>-14.893386404318679</c:v>
                </c:pt>
                <c:pt idx="110">
                  <c:v>-15.497363943479684</c:v>
                </c:pt>
                <c:pt idx="111">
                  <c:v>-16.101341482640688</c:v>
                </c:pt>
                <c:pt idx="112">
                  <c:v>-16.705319021801692</c:v>
                </c:pt>
                <c:pt idx="113">
                  <c:v>-17.309296560962697</c:v>
                </c:pt>
                <c:pt idx="114">
                  <c:v>-17.913274100123701</c:v>
                </c:pt>
                <c:pt idx="115">
                  <c:v>-18.517251639284705</c:v>
                </c:pt>
                <c:pt idx="116">
                  <c:v>-19.121229178445709</c:v>
                </c:pt>
                <c:pt idx="117">
                  <c:v>-19.725206717606714</c:v>
                </c:pt>
                <c:pt idx="118">
                  <c:v>-20.329184256767718</c:v>
                </c:pt>
                <c:pt idx="119">
                  <c:v>-20.933161795928722</c:v>
                </c:pt>
                <c:pt idx="120">
                  <c:v>-21.537139335089726</c:v>
                </c:pt>
                <c:pt idx="121">
                  <c:v>-22.141116874250731</c:v>
                </c:pt>
                <c:pt idx="122">
                  <c:v>-22.745094413411735</c:v>
                </c:pt>
                <c:pt idx="123">
                  <c:v>-23.349071952572739</c:v>
                </c:pt>
                <c:pt idx="124">
                  <c:v>-23.953049491733744</c:v>
                </c:pt>
                <c:pt idx="125">
                  <c:v>-24.557027030894748</c:v>
                </c:pt>
                <c:pt idx="126">
                  <c:v>-25.161004570055752</c:v>
                </c:pt>
                <c:pt idx="127">
                  <c:v>-25.764982109216756</c:v>
                </c:pt>
                <c:pt idx="128">
                  <c:v>-26.368959648377761</c:v>
                </c:pt>
                <c:pt idx="129">
                  <c:v>-26.972937187538765</c:v>
                </c:pt>
                <c:pt idx="130">
                  <c:v>-27.576914726699769</c:v>
                </c:pt>
                <c:pt idx="131">
                  <c:v>-28.180892265860773</c:v>
                </c:pt>
                <c:pt idx="132">
                  <c:v>-28.784869805021778</c:v>
                </c:pt>
                <c:pt idx="133">
                  <c:v>-29.388847344182782</c:v>
                </c:pt>
                <c:pt idx="134">
                  <c:v>-29.992824883343786</c:v>
                </c:pt>
                <c:pt idx="135">
                  <c:v>-30.596802422504791</c:v>
                </c:pt>
                <c:pt idx="136">
                  <c:v>-31.200779961665795</c:v>
                </c:pt>
                <c:pt idx="137">
                  <c:v>-31.804757500826799</c:v>
                </c:pt>
                <c:pt idx="138">
                  <c:v>-32.408735039987803</c:v>
                </c:pt>
                <c:pt idx="139">
                  <c:v>-33.012712579148804</c:v>
                </c:pt>
                <c:pt idx="140">
                  <c:v>-33.616690118309805</c:v>
                </c:pt>
                <c:pt idx="141">
                  <c:v>-34.220667657470806</c:v>
                </c:pt>
                <c:pt idx="142">
                  <c:v>-34.824645196631806</c:v>
                </c:pt>
                <c:pt idx="143">
                  <c:v>-35.428622735792807</c:v>
                </c:pt>
                <c:pt idx="144">
                  <c:v>-36.032600274953808</c:v>
                </c:pt>
                <c:pt idx="145">
                  <c:v>-36.636577814114808</c:v>
                </c:pt>
                <c:pt idx="146">
                  <c:v>-37.240555353275809</c:v>
                </c:pt>
                <c:pt idx="147">
                  <c:v>-37.84453289243681</c:v>
                </c:pt>
                <c:pt idx="148">
                  <c:v>-38.448510431597811</c:v>
                </c:pt>
                <c:pt idx="149">
                  <c:v>-39.052487970758811</c:v>
                </c:pt>
                <c:pt idx="150">
                  <c:v>-39.656465509919812</c:v>
                </c:pt>
                <c:pt idx="151">
                  <c:v>-40.260443049080813</c:v>
                </c:pt>
                <c:pt idx="152">
                  <c:v>-40.864420588241813</c:v>
                </c:pt>
                <c:pt idx="153">
                  <c:v>-41.468398127402814</c:v>
                </c:pt>
                <c:pt idx="154">
                  <c:v>-42.072375666563815</c:v>
                </c:pt>
                <c:pt idx="155">
                  <c:v>-42.676353205724816</c:v>
                </c:pt>
                <c:pt idx="156">
                  <c:v>-43.280330744885816</c:v>
                </c:pt>
                <c:pt idx="157">
                  <c:v>-43.884308284046817</c:v>
                </c:pt>
                <c:pt idx="158">
                  <c:v>-44.488285823207818</c:v>
                </c:pt>
                <c:pt idx="159">
                  <c:v>-45.092263362368818</c:v>
                </c:pt>
                <c:pt idx="160">
                  <c:v>-45.696240901529819</c:v>
                </c:pt>
                <c:pt idx="161">
                  <c:v>-46.30021844069082</c:v>
                </c:pt>
                <c:pt idx="162">
                  <c:v>-46.904195979851821</c:v>
                </c:pt>
                <c:pt idx="163">
                  <c:v>-47.508173519012821</c:v>
                </c:pt>
                <c:pt idx="164">
                  <c:v>-48.112151058173822</c:v>
                </c:pt>
                <c:pt idx="165">
                  <c:v>-48.716128597334823</c:v>
                </c:pt>
                <c:pt idx="166">
                  <c:v>-49.320106136495824</c:v>
                </c:pt>
                <c:pt idx="167">
                  <c:v>-49.924083675656824</c:v>
                </c:pt>
                <c:pt idx="168">
                  <c:v>-50.528061214817825</c:v>
                </c:pt>
                <c:pt idx="169">
                  <c:v>-51.132038753978826</c:v>
                </c:pt>
                <c:pt idx="170">
                  <c:v>-51.736016293139826</c:v>
                </c:pt>
                <c:pt idx="171">
                  <c:v>-52.339993832300827</c:v>
                </c:pt>
                <c:pt idx="172">
                  <c:v>-52.943971371461828</c:v>
                </c:pt>
                <c:pt idx="173">
                  <c:v>-53.547948910622829</c:v>
                </c:pt>
                <c:pt idx="174">
                  <c:v>-54.151926449783829</c:v>
                </c:pt>
                <c:pt idx="175">
                  <c:v>-54.75590398894483</c:v>
                </c:pt>
                <c:pt idx="176">
                  <c:v>-55.359881528105831</c:v>
                </c:pt>
                <c:pt idx="177">
                  <c:v>-55.963859067266831</c:v>
                </c:pt>
                <c:pt idx="178">
                  <c:v>-56.567836606427832</c:v>
                </c:pt>
                <c:pt idx="179">
                  <c:v>-56.963480055293246</c:v>
                </c:pt>
                <c:pt idx="180">
                  <c:v>-56.963480055293246</c:v>
                </c:pt>
                <c:pt idx="181">
                  <c:v>-56.963480055293246</c:v>
                </c:pt>
                <c:pt idx="182">
                  <c:v>-56.963480055293246</c:v>
                </c:pt>
                <c:pt idx="183">
                  <c:v>-56.963480055293246</c:v>
                </c:pt>
                <c:pt idx="184">
                  <c:v>-56.963480055293246</c:v>
                </c:pt>
                <c:pt idx="185">
                  <c:v>-56.963480055293246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69A-7B4E-AE60-04955D3E00BA}"/>
            </c:ext>
          </c:extLst>
        </c:ser>
        <c:ser>
          <c:idx val="1"/>
          <c:order val="1"/>
          <c:tx>
            <c:v>lamda 1</c:v>
          </c:tx>
          <c:spPr>
            <a:ln w="2540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xVal>
            <c:numRef>
              <c:f>'Grafic global'!$T$5:$T$190</c:f>
              <c:numCache>
                <c:formatCode>0.00</c:formatCode>
                <c:ptCount val="186"/>
                <c:pt idx="0">
                  <c:v>27.89877454513794</c:v>
                </c:pt>
                <c:pt idx="1">
                  <c:v>27.89877454513794</c:v>
                </c:pt>
                <c:pt idx="2">
                  <c:v>20.536217870664586</c:v>
                </c:pt>
                <c:pt idx="3">
                  <c:v>16.557562179238346</c:v>
                </c:pt>
                <c:pt idx="4">
                  <c:v>13.641918332145337</c:v>
                </c:pt>
                <c:pt idx="5">
                  <c:v>11.257910562316624</c:v>
                </c:pt>
                <c:pt idx="6">
                  <c:v>9.2114164777527208</c:v>
                </c:pt>
                <c:pt idx="7">
                  <c:v>7.4049622653968754</c:v>
                </c:pt>
                <c:pt idx="8">
                  <c:v>5.7811495449099084</c:v>
                </c:pt>
                <c:pt idx="9">
                  <c:v>4.3026904141848945</c:v>
                </c:pt>
                <c:pt idx="10">
                  <c:v>2.9436785872438804</c:v>
                </c:pt>
                <c:pt idx="11">
                  <c:v>1.6852116954987082</c:v>
                </c:pt>
                <c:pt idx="12">
                  <c:v>0.51297281960307828</c:v>
                </c:pt>
                <c:pt idx="13">
                  <c:v>-0.58420579469805034</c:v>
                </c:pt>
                <c:pt idx="14">
                  <c:v>-1.6152451315472263</c:v>
                </c:pt>
                <c:pt idx="15">
                  <c:v>-2.5874125758588207</c:v>
                </c:pt>
                <c:pt idx="16">
                  <c:v>-3.5067265684627387</c:v>
                </c:pt>
                <c:pt idx="17">
                  <c:v>-4.3782413681714161</c:v>
                </c:pt>
                <c:pt idx="18">
                  <c:v>-5.2062528033999342</c:v>
                </c:pt>
                <c:pt idx="19">
                  <c:v>-5.9944503515021665</c:v>
                </c:pt>
                <c:pt idx="20">
                  <c:v>-6.7460317902608153</c:v>
                </c:pt>
                <c:pt idx="21">
                  <c:v>-7.4637911456903225</c:v>
                </c:pt>
                <c:pt idx="22">
                  <c:v>-8.1501871999175819</c:v>
                </c:pt>
                <c:pt idx="23">
                  <c:v>-8.8073975917762368</c:v>
                </c:pt>
                <c:pt idx="24">
                  <c:v>-9.4373620678991301</c:v>
                </c:pt>
                <c:pt idx="25">
                  <c:v>-10.041817445253116</c:v>
                </c:pt>
                <c:pt idx="26">
                  <c:v>-10.622326158745977</c:v>
                </c:pt>
                <c:pt idx="27">
                  <c:v>-11.18029978501869</c:v>
                </c:pt>
                <c:pt idx="28">
                  <c:v>-11.717018589226598</c:v>
                </c:pt>
                <c:pt idx="29">
                  <c:v>-12.233647892236831</c:v>
                </c:pt>
                <c:pt idx="30">
                  <c:v>-12.731251872569942</c:v>
                </c:pt>
                <c:pt idx="31">
                  <c:v>-13.210805281289595</c:v>
                </c:pt>
                <c:pt idx="32">
                  <c:v>-13.673203445661841</c:v>
                </c:pt>
                <c:pt idx="33">
                  <c:v>-14.119270859576773</c:v>
                </c:pt>
                <c:pt idx="34">
                  <c:v>-14.549768598972548</c:v>
                </c:pt>
                <c:pt idx="35">
                  <c:v>-14.965400754200971</c:v>
                </c:pt>
                <c:pt idx="36">
                  <c:v>-15.366820035083435</c:v>
                </c:pt>
                <c:pt idx="37">
                  <c:v>-15.754632675896573</c:v>
                </c:pt>
                <c:pt idx="38">
                  <c:v>-16.129402744890399</c:v>
                </c:pt>
                <c:pt idx="39">
                  <c:v>-16.491655944845661</c:v>
                </c:pt>
                <c:pt idx="40">
                  <c:v>-16.841882976611146</c:v>
                </c:pt>
                <c:pt idx="41">
                  <c:v>-17.180542525766555</c:v>
                </c:pt>
                <c:pt idx="42">
                  <c:v>-17.50806392294237</c:v>
                </c:pt>
                <c:pt idx="43">
                  <c:v>-17.824849520455075</c:v>
                </c:pt>
                <c:pt idx="44">
                  <c:v>-18.131276821428401</c:v>
                </c:pt>
                <c:pt idx="45">
                  <c:v>-18.427700392200052</c:v>
                </c:pt>
                <c:pt idx="46">
                  <c:v>-18.714453584346415</c:v>
                </c:pt>
                <c:pt idx="47">
                  <c:v>-18.991850088924593</c:v>
                </c:pt>
                <c:pt idx="48">
                  <c:v>-19.260185342396596</c:v>
                </c:pt>
                <c:pt idx="49">
                  <c:v>-19.519737801060216</c:v>
                </c:pt>
                <c:pt idx="50">
                  <c:v>-19.770770098575838</c:v>
                </c:pt>
                <c:pt idx="51">
                  <c:v>-20.013530099281411</c:v>
                </c:pt>
                <c:pt idx="52">
                  <c:v>-20.24825185836761</c:v>
                </c:pt>
                <c:pt idx="53">
                  <c:v>-20.475156498604008</c:v>
                </c:pt>
                <c:pt idx="54">
                  <c:v>-20.694453012115957</c:v>
                </c:pt>
                <c:pt idx="55">
                  <c:v>-20.906338994691566</c:v>
                </c:pt>
                <c:pt idx="56">
                  <c:v>-21.111001319213131</c:v>
                </c:pt>
                <c:pt idx="57">
                  <c:v>-21.308616754042419</c:v>
                </c:pt>
                <c:pt idx="58">
                  <c:v>-21.499352531524039</c:v>
                </c:pt>
                <c:pt idx="59">
                  <c:v>-21.683366871192391</c:v>
                </c:pt>
                <c:pt idx="60">
                  <c:v>-21.86080946176088</c:v>
                </c:pt>
                <c:pt idx="61">
                  <c:v>-22.031821905529796</c:v>
                </c:pt>
                <c:pt idx="62">
                  <c:v>-22.196538128458201</c:v>
                </c:pt>
                <c:pt idx="63">
                  <c:v>-22.35508475880556</c:v>
                </c:pt>
                <c:pt idx="64">
                  <c:v>-22.507581476943358</c:v>
                </c:pt>
                <c:pt idx="65">
                  <c:v>-22.65414133867165</c:v>
                </c:pt>
                <c:pt idx="66">
                  <c:v>-22.794871074137973</c:v>
                </c:pt>
                <c:pt idx="67">
                  <c:v>-22.929871364244605</c:v>
                </c:pt>
                <c:pt idx="68">
                  <c:v>-23.059237096243749</c:v>
                </c:pt>
                <c:pt idx="69">
                  <c:v>-23.183057600051086</c:v>
                </c:pt>
                <c:pt idx="70">
                  <c:v>-23.301416866660418</c:v>
                </c:pt>
                <c:pt idx="71">
                  <c:v>-23.414393749904889</c:v>
                </c:pt>
                <c:pt idx="72">
                  <c:v>-23.522062152692342</c:v>
                </c:pt>
                <c:pt idx="73">
                  <c:v>-23.624491198730425</c:v>
                </c:pt>
                <c:pt idx="74">
                  <c:v>-23.721745390660828</c:v>
                </c:pt>
                <c:pt idx="75">
                  <c:v>-23.813884755432184</c:v>
                </c:pt>
                <c:pt idx="76">
                  <c:v>-23.900964977658873</c:v>
                </c:pt>
                <c:pt idx="77">
                  <c:v>-23.983037521640938</c:v>
                </c:pt>
                <c:pt idx="78">
                  <c:v>-24.060149742651674</c:v>
                </c:pt>
                <c:pt idx="79">
                  <c:v>-24.132344988037573</c:v>
                </c:pt>
                <c:pt idx="80">
                  <c:v>-24.199662688618616</c:v>
                </c:pt>
                <c:pt idx="81">
                  <c:v>-24.262138440824231</c:v>
                </c:pt>
                <c:pt idx="82">
                  <c:v>-24.319804079950529</c:v>
                </c:pt>
                <c:pt idx="83">
                  <c:v>-24.372687744880636</c:v>
                </c:pt>
                <c:pt idx="84">
                  <c:v>-24.420813934564876</c:v>
                </c:pt>
                <c:pt idx="85">
                  <c:v>-24.46420355652026</c:v>
                </c:pt>
                <c:pt idx="86">
                  <c:v>-24.502873967567723</c:v>
                </c:pt>
                <c:pt idx="87">
                  <c:v>-24.536839006991556</c:v>
                </c:pt>
                <c:pt idx="88">
                  <c:v>-24.566109022269814</c:v>
                </c:pt>
                <c:pt idx="89">
                  <c:v>-24.590690887491405</c:v>
                </c:pt>
                <c:pt idx="90">
                  <c:v>-24.610588014542714</c:v>
                </c:pt>
                <c:pt idx="91">
                  <c:v>-24.625800357114258</c:v>
                </c:pt>
                <c:pt idx="92">
                  <c:v>-24.636324407548216</c:v>
                </c:pt>
                <c:pt idx="93">
                  <c:v>-24.642153186514349</c:v>
                </c:pt>
                <c:pt idx="94">
                  <c:v>-24.643276225471539</c:v>
                </c:pt>
                <c:pt idx="95">
                  <c:v>-24.639679541841019</c:v>
                </c:pt>
                <c:pt idx="96">
                  <c:v>-24.631345606784237</c:v>
                </c:pt>
                <c:pt idx="97">
                  <c:v>-24.618253305445819</c:v>
                </c:pt>
                <c:pt idx="98">
                  <c:v>-24.600377889489096</c:v>
                </c:pt>
                <c:pt idx="99">
                  <c:v>-24.577690921714236</c:v>
                </c:pt>
                <c:pt idx="100">
                  <c:v>-24.550160212513902</c:v>
                </c:pt>
                <c:pt idx="101">
                  <c:v>-24.517749747882192</c:v>
                </c:pt>
                <c:pt idx="102">
                  <c:v>-24.480419608651005</c:v>
                </c:pt>
                <c:pt idx="103">
                  <c:v>-24.438125880584494</c:v>
                </c:pt>
                <c:pt idx="104">
                  <c:v>-24.390820554915422</c:v>
                </c:pt>
                <c:pt idx="105">
                  <c:v>-24.338451418858028</c:v>
                </c:pt>
                <c:pt idx="106">
                  <c:v>-24.280961935575363</c:v>
                </c:pt>
                <c:pt idx="107">
                  <c:v>-24.218291113024065</c:v>
                </c:pt>
                <c:pt idx="108">
                  <c:v>-24.150373361032621</c:v>
                </c:pt>
                <c:pt idx="109">
                  <c:v>-24.077138335900599</c:v>
                </c:pt>
                <c:pt idx="110">
                  <c:v>-23.998510771732924</c:v>
                </c:pt>
                <c:pt idx="111">
                  <c:v>-23.914410297635015</c:v>
                </c:pt>
                <c:pt idx="112">
                  <c:v>-23.824751239807767</c:v>
                </c:pt>
                <c:pt idx="113">
                  <c:v>-23.729442407478246</c:v>
                </c:pt>
                <c:pt idx="114">
                  <c:v>-23.628386861489275</c:v>
                </c:pt>
                <c:pt idx="115">
                  <c:v>-23.52148166424962</c:v>
                </c:pt>
                <c:pt idx="116">
                  <c:v>-23.408617609608314</c:v>
                </c:pt>
                <c:pt idx="117">
                  <c:v>-23.289678931061076</c:v>
                </c:pt>
                <c:pt idx="118">
                  <c:v>-23.164542986530819</c:v>
                </c:pt>
                <c:pt idx="119">
                  <c:v>-23.033079917769328</c:v>
                </c:pt>
                <c:pt idx="120">
                  <c:v>-22.895152282214099</c:v>
                </c:pt>
                <c:pt idx="121">
                  <c:v>-22.750614654895628</c:v>
                </c:pt>
                <c:pt idx="122">
                  <c:v>-22.599313197718175</c:v>
                </c:pt>
                <c:pt idx="123">
                  <c:v>-22.441085193131244</c:v>
                </c:pt>
                <c:pt idx="124">
                  <c:v>-22.275758538866796</c:v>
                </c:pt>
                <c:pt idx="125">
                  <c:v>-22.103151200021273</c:v>
                </c:pt>
                <c:pt idx="126">
                  <c:v>-21.923070614321887</c:v>
                </c:pt>
                <c:pt idx="127">
                  <c:v>-21.7353130459054</c:v>
                </c:pt>
                <c:pt idx="128">
                  <c:v>-21.539662882363643</c:v>
                </c:pt>
                <c:pt idx="129">
                  <c:v>-21.335891869144007</c:v>
                </c:pt>
                <c:pt idx="130">
                  <c:v>-21.123758274636714</c:v>
                </c:pt>
                <c:pt idx="131">
                  <c:v>-20.903005978402632</c:v>
                </c:pt>
                <c:pt idx="132">
                  <c:v>-20.673363473988388</c:v>
                </c:pt>
                <c:pt idx="133">
                  <c:v>-20.434542776604019</c:v>
                </c:pt>
                <c:pt idx="134">
                  <c:v>-20.186238224581587</c:v>
                </c:pt>
                <c:pt idx="135">
                  <c:v>-19.928125161950788</c:v>
                </c:pt>
                <c:pt idx="136">
                  <c:v>-19.659858487617328</c:v>
                </c:pt>
                <c:pt idx="137">
                  <c:v>-19.381071054460904</c:v>
                </c:pt>
                <c:pt idx="138">
                  <c:v>-19.091371899112232</c:v>
                </c:pt>
                <c:pt idx="139">
                  <c:v>-18.790344280152965</c:v>
                </c:pt>
                <c:pt idx="140">
                  <c:v>-18.477543498893624</c:v>
                </c:pt>
                <c:pt idx="141">
                  <c:v>-18.152494472619821</c:v>
                </c:pt>
                <c:pt idx="142">
                  <c:v>-17.814689025083226</c:v>
                </c:pt>
                <c:pt idx="143">
                  <c:v>-17.463582852870331</c:v>
                </c:pt>
                <c:pt idx="144">
                  <c:v>-17.098592118860267</c:v>
                </c:pt>
                <c:pt idx="145">
                  <c:v>-16.719089614965583</c:v>
                </c:pt>
                <c:pt idx="146">
                  <c:v>-16.324400425347392</c:v>
                </c:pt>
                <c:pt idx="147">
                  <c:v>-15.913797007780261</c:v>
                </c:pt>
                <c:pt idx="148">
                  <c:v>-15.486493594155263</c:v>
                </c:pt>
                <c:pt idx="149">
                  <c:v>-15.04163979035701</c:v>
                </c:pt>
                <c:pt idx="150">
                  <c:v>-14.578313229788137</c:v>
                </c:pt>
                <c:pt idx="151">
                  <c:v>-14.095511102081502</c:v>
                </c:pt>
                <c:pt idx="152">
                  <c:v>-13.592140336971454</c:v>
                </c:pt>
                <c:pt idx="153">
                  <c:v>-13.067006170056061</c:v>
                </c:pt>
                <c:pt idx="154">
                  <c:v>-12.518798748418419</c:v>
                </c:pt>
                <c:pt idx="155">
                  <c:v>-11.946077344404102</c:v>
                </c:pt>
                <c:pt idx="156">
                  <c:v>-11.347251627757089</c:v>
                </c:pt>
                <c:pt idx="157">
                  <c:v>-10.720559289071446</c:v>
                </c:pt>
                <c:pt idx="158">
                  <c:v>-10.064039095691101</c:v>
                </c:pt>
                <c:pt idx="159">
                  <c:v>-9.3754981721759805</c:v>
                </c:pt>
                <c:pt idx="160">
                  <c:v>-8.6524718976274357</c:v>
                </c:pt>
                <c:pt idx="161">
                  <c:v>-7.8921742506017836</c:v>
                </c:pt>
                <c:pt idx="162">
                  <c:v>-7.0914356303971999</c:v>
                </c:pt>
                <c:pt idx="163">
                  <c:v>-6.2466240170833771</c:v>
                </c:pt>
                <c:pt idx="164">
                  <c:v>-5.3535436012595028</c:v>
                </c:pt>
                <c:pt idx="165">
                  <c:v>-4.4073023855690394</c:v>
                </c:pt>
                <c:pt idx="166">
                  <c:v>-3.4021361651395523</c:v>
                </c:pt>
                <c:pt idx="167">
                  <c:v>-2.3311697294113287</c:v>
                </c:pt>
                <c:pt idx="168">
                  <c:v>-1.1860852513778468</c:v>
                </c:pt>
                <c:pt idx="169">
                  <c:v>4.3350887141912153E-2</c:v>
                </c:pt>
                <c:pt idx="170">
                  <c:v>1.369985256100847</c:v>
                </c:pt>
                <c:pt idx="171">
                  <c:v>2.8103447784871491</c:v>
                </c:pt>
                <c:pt idx="172">
                  <c:v>4.3863495433745356</c:v>
                </c:pt>
                <c:pt idx="173">
                  <c:v>6.128227665291945</c:v>
                </c:pt>
                <c:pt idx="174">
                  <c:v>8.079867214018293</c:v>
                </c:pt>
                <c:pt idx="175">
                  <c:v>10.30970332062833</c:v>
                </c:pt>
                <c:pt idx="176">
                  <c:v>12.936381937981821</c:v>
                </c:pt>
                <c:pt idx="177">
                  <c:v>16.205330556253614</c:v>
                </c:pt>
                <c:pt idx="178">
                  <c:v>20.856105506004042</c:v>
                </c:pt>
                <c:pt idx="179">
                  <c:v>27.798808584895767</c:v>
                </c:pt>
                <c:pt idx="180">
                  <c:v>27.798808584895767</c:v>
                </c:pt>
                <c:pt idx="181">
                  <c:v>27.798808584895767</c:v>
                </c:pt>
                <c:pt idx="182">
                  <c:v>27.798808584895767</c:v>
                </c:pt>
                <c:pt idx="183">
                  <c:v>27.798808584895767</c:v>
                </c:pt>
                <c:pt idx="184">
                  <c:v>27.798808584895767</c:v>
                </c:pt>
                <c:pt idx="185">
                  <c:v>27.798808584895767</c:v>
                </c:pt>
              </c:numCache>
            </c:numRef>
          </c:xVal>
          <c:yVal>
            <c:numRef>
              <c:f>'Grafic global'!$M$5:$M$190</c:f>
              <c:numCache>
                <c:formatCode>0.00\°;[Red]0.00\°</c:formatCode>
                <c:ptCount val="186"/>
                <c:pt idx="0">
                  <c:v>50.236037975847395</c:v>
                </c:pt>
                <c:pt idx="1">
                  <c:v>50.236037975847395</c:v>
                </c:pt>
                <c:pt idx="2">
                  <c:v>49.732210285908657</c:v>
                </c:pt>
                <c:pt idx="3">
                  <c:v>49.128232746747656</c:v>
                </c:pt>
                <c:pt idx="4">
                  <c:v>48.524255207586656</c:v>
                </c:pt>
                <c:pt idx="5">
                  <c:v>47.920277668425655</c:v>
                </c:pt>
                <c:pt idx="6">
                  <c:v>47.316300129264654</c:v>
                </c:pt>
                <c:pt idx="7">
                  <c:v>46.712322590103653</c:v>
                </c:pt>
                <c:pt idx="8">
                  <c:v>46.108345050942653</c:v>
                </c:pt>
                <c:pt idx="9">
                  <c:v>45.504367511781652</c:v>
                </c:pt>
                <c:pt idx="10">
                  <c:v>44.900389972620651</c:v>
                </c:pt>
                <c:pt idx="11">
                  <c:v>44.296412433459651</c:v>
                </c:pt>
                <c:pt idx="12">
                  <c:v>43.69243489429865</c:v>
                </c:pt>
                <c:pt idx="13">
                  <c:v>43.088457355137649</c:v>
                </c:pt>
                <c:pt idx="14">
                  <c:v>42.484479815976648</c:v>
                </c:pt>
                <c:pt idx="15">
                  <c:v>41.880502276815648</c:v>
                </c:pt>
                <c:pt idx="16">
                  <c:v>41.276524737654647</c:v>
                </c:pt>
                <c:pt idx="17">
                  <c:v>40.672547198493646</c:v>
                </c:pt>
                <c:pt idx="18">
                  <c:v>40.068569659332645</c:v>
                </c:pt>
                <c:pt idx="19">
                  <c:v>39.464592120171645</c:v>
                </c:pt>
                <c:pt idx="20">
                  <c:v>38.860614581010644</c:v>
                </c:pt>
                <c:pt idx="21">
                  <c:v>38.256637041849643</c:v>
                </c:pt>
                <c:pt idx="22">
                  <c:v>37.652659502688643</c:v>
                </c:pt>
                <c:pt idx="23">
                  <c:v>37.048681963527642</c:v>
                </c:pt>
                <c:pt idx="24">
                  <c:v>36.444704424366641</c:v>
                </c:pt>
                <c:pt idx="25">
                  <c:v>35.84072688520564</c:v>
                </c:pt>
                <c:pt idx="26">
                  <c:v>35.23674934604464</c:v>
                </c:pt>
                <c:pt idx="27">
                  <c:v>34.632771806883639</c:v>
                </c:pt>
                <c:pt idx="28">
                  <c:v>34.028794267722638</c:v>
                </c:pt>
                <c:pt idx="29">
                  <c:v>33.424816728561638</c:v>
                </c:pt>
                <c:pt idx="30">
                  <c:v>32.820839189400637</c:v>
                </c:pt>
                <c:pt idx="31">
                  <c:v>32.216861650239636</c:v>
                </c:pt>
                <c:pt idx="32">
                  <c:v>31.612884111078632</c:v>
                </c:pt>
                <c:pt idx="33">
                  <c:v>31.008906571917628</c:v>
                </c:pt>
                <c:pt idx="34">
                  <c:v>30.404929032756623</c:v>
                </c:pt>
                <c:pt idx="35">
                  <c:v>29.800951493595619</c:v>
                </c:pt>
                <c:pt idx="36">
                  <c:v>29.196973954434615</c:v>
                </c:pt>
                <c:pt idx="37">
                  <c:v>28.59299641527361</c:v>
                </c:pt>
                <c:pt idx="38">
                  <c:v>27.989018876112606</c:v>
                </c:pt>
                <c:pt idx="39">
                  <c:v>27.385041336951602</c:v>
                </c:pt>
                <c:pt idx="40">
                  <c:v>26.781063797790598</c:v>
                </c:pt>
                <c:pt idx="41">
                  <c:v>26.177086258629593</c:v>
                </c:pt>
                <c:pt idx="42">
                  <c:v>25.573108719468589</c:v>
                </c:pt>
                <c:pt idx="43">
                  <c:v>24.969131180307585</c:v>
                </c:pt>
                <c:pt idx="44">
                  <c:v>24.365153641146581</c:v>
                </c:pt>
                <c:pt idx="45">
                  <c:v>23.761176101985576</c:v>
                </c:pt>
                <c:pt idx="46">
                  <c:v>23.157198562824572</c:v>
                </c:pt>
                <c:pt idx="47">
                  <c:v>22.553221023663568</c:v>
                </c:pt>
                <c:pt idx="48">
                  <c:v>21.949243484502563</c:v>
                </c:pt>
                <c:pt idx="49">
                  <c:v>21.345265945341559</c:v>
                </c:pt>
                <c:pt idx="50">
                  <c:v>20.741288406180555</c:v>
                </c:pt>
                <c:pt idx="51">
                  <c:v>20.137310867019551</c:v>
                </c:pt>
                <c:pt idx="52">
                  <c:v>19.533333327858546</c:v>
                </c:pt>
                <c:pt idx="53">
                  <c:v>18.929355788697542</c:v>
                </c:pt>
                <c:pt idx="54">
                  <c:v>18.325378249536538</c:v>
                </c:pt>
                <c:pt idx="55">
                  <c:v>17.721400710375534</c:v>
                </c:pt>
                <c:pt idx="56">
                  <c:v>17.117423171214529</c:v>
                </c:pt>
                <c:pt idx="57">
                  <c:v>16.513445632053525</c:v>
                </c:pt>
                <c:pt idx="58">
                  <c:v>15.909468092892521</c:v>
                </c:pt>
                <c:pt idx="59">
                  <c:v>15.305490553731516</c:v>
                </c:pt>
                <c:pt idx="60">
                  <c:v>14.701513014570512</c:v>
                </c:pt>
                <c:pt idx="61">
                  <c:v>14.097535475409508</c:v>
                </c:pt>
                <c:pt idx="62">
                  <c:v>13.493557936248504</c:v>
                </c:pt>
                <c:pt idx="63">
                  <c:v>12.889580397087499</c:v>
                </c:pt>
                <c:pt idx="64">
                  <c:v>12.285602857926495</c:v>
                </c:pt>
                <c:pt idx="65">
                  <c:v>11.681625318765491</c:v>
                </c:pt>
                <c:pt idx="66">
                  <c:v>11.077647779604487</c:v>
                </c:pt>
                <c:pt idx="67">
                  <c:v>10.473670240443482</c:v>
                </c:pt>
                <c:pt idx="68">
                  <c:v>9.869692701282478</c:v>
                </c:pt>
                <c:pt idx="69">
                  <c:v>9.2657151621214737</c:v>
                </c:pt>
                <c:pt idx="70">
                  <c:v>8.6617376229604695</c:v>
                </c:pt>
                <c:pt idx="71">
                  <c:v>8.0577600837994652</c:v>
                </c:pt>
                <c:pt idx="72">
                  <c:v>7.4537825446384618</c:v>
                </c:pt>
                <c:pt idx="73">
                  <c:v>6.8498050054774584</c:v>
                </c:pt>
                <c:pt idx="74">
                  <c:v>6.245827466316455</c:v>
                </c:pt>
                <c:pt idx="75">
                  <c:v>5.6418499271554516</c:v>
                </c:pt>
                <c:pt idx="76">
                  <c:v>5.0378723879944483</c:v>
                </c:pt>
                <c:pt idx="77">
                  <c:v>4.4338948488334449</c:v>
                </c:pt>
                <c:pt idx="78">
                  <c:v>3.829917309672441</c:v>
                </c:pt>
                <c:pt idx="79">
                  <c:v>3.2259397705114372</c:v>
                </c:pt>
                <c:pt idx="80">
                  <c:v>2.6219622313504334</c:v>
                </c:pt>
                <c:pt idx="81">
                  <c:v>2.0179846921894296</c:v>
                </c:pt>
                <c:pt idx="82">
                  <c:v>1.4140071530284257</c:v>
                </c:pt>
                <c:pt idx="83">
                  <c:v>0.810029613867422</c:v>
                </c:pt>
                <c:pt idx="84">
                  <c:v>0.20605207470641829</c:v>
                </c:pt>
                <c:pt idx="85">
                  <c:v>-0.39792546445458543</c:v>
                </c:pt>
                <c:pt idx="86">
                  <c:v>-1.0019030036155891</c:v>
                </c:pt>
                <c:pt idx="87">
                  <c:v>-1.605880542776593</c:v>
                </c:pt>
                <c:pt idx="88">
                  <c:v>-2.2098580819375968</c:v>
                </c:pt>
                <c:pt idx="89">
                  <c:v>-2.8138356210986006</c:v>
                </c:pt>
                <c:pt idx="90">
                  <c:v>-3.4178131602596045</c:v>
                </c:pt>
                <c:pt idx="91">
                  <c:v>-4.0217906994206079</c:v>
                </c:pt>
                <c:pt idx="92">
                  <c:v>-4.6257682385816112</c:v>
                </c:pt>
                <c:pt idx="93">
                  <c:v>-5.2297457777426146</c:v>
                </c:pt>
                <c:pt idx="94">
                  <c:v>-5.833723316903618</c:v>
                </c:pt>
                <c:pt idx="95">
                  <c:v>-6.4377008560646214</c:v>
                </c:pt>
                <c:pt idx="96">
                  <c:v>-7.0416783952256248</c:v>
                </c:pt>
                <c:pt idx="97">
                  <c:v>-7.6456559343866282</c:v>
                </c:pt>
                <c:pt idx="98">
                  <c:v>-8.2496334735476324</c:v>
                </c:pt>
                <c:pt idx="99">
                  <c:v>-8.8536110127086367</c:v>
                </c:pt>
                <c:pt idx="100">
                  <c:v>-9.457588551869641</c:v>
                </c:pt>
                <c:pt idx="101">
                  <c:v>-10.061566091030645</c:v>
                </c:pt>
                <c:pt idx="102">
                  <c:v>-10.66554363019165</c:v>
                </c:pt>
                <c:pt idx="103">
                  <c:v>-11.269521169352654</c:v>
                </c:pt>
                <c:pt idx="104">
                  <c:v>-11.873498708513658</c:v>
                </c:pt>
                <c:pt idx="105">
                  <c:v>-12.477476247674662</c:v>
                </c:pt>
                <c:pt idx="106">
                  <c:v>-13.081453786835667</c:v>
                </c:pt>
                <c:pt idx="107">
                  <c:v>-13.685431325996671</c:v>
                </c:pt>
                <c:pt idx="108">
                  <c:v>-14.289408865157675</c:v>
                </c:pt>
                <c:pt idx="109">
                  <c:v>-14.893386404318679</c:v>
                </c:pt>
                <c:pt idx="110">
                  <c:v>-15.497363943479684</c:v>
                </c:pt>
                <c:pt idx="111">
                  <c:v>-16.101341482640688</c:v>
                </c:pt>
                <c:pt idx="112">
                  <c:v>-16.705319021801692</c:v>
                </c:pt>
                <c:pt idx="113">
                  <c:v>-17.309296560962697</c:v>
                </c:pt>
                <c:pt idx="114">
                  <c:v>-17.913274100123701</c:v>
                </c:pt>
                <c:pt idx="115">
                  <c:v>-18.517251639284705</c:v>
                </c:pt>
                <c:pt idx="116">
                  <c:v>-19.121229178445709</c:v>
                </c:pt>
                <c:pt idx="117">
                  <c:v>-19.725206717606714</c:v>
                </c:pt>
                <c:pt idx="118">
                  <c:v>-20.329184256767718</c:v>
                </c:pt>
                <c:pt idx="119">
                  <c:v>-20.933161795928722</c:v>
                </c:pt>
                <c:pt idx="120">
                  <c:v>-21.537139335089726</c:v>
                </c:pt>
                <c:pt idx="121">
                  <c:v>-22.141116874250731</c:v>
                </c:pt>
                <c:pt idx="122">
                  <c:v>-22.745094413411735</c:v>
                </c:pt>
                <c:pt idx="123">
                  <c:v>-23.349071952572739</c:v>
                </c:pt>
                <c:pt idx="124">
                  <c:v>-23.953049491733744</c:v>
                </c:pt>
                <c:pt idx="125">
                  <c:v>-24.557027030894748</c:v>
                </c:pt>
                <c:pt idx="126">
                  <c:v>-25.161004570055752</c:v>
                </c:pt>
                <c:pt idx="127">
                  <c:v>-25.764982109216756</c:v>
                </c:pt>
                <c:pt idx="128">
                  <c:v>-26.368959648377761</c:v>
                </c:pt>
                <c:pt idx="129">
                  <c:v>-26.972937187538765</c:v>
                </c:pt>
                <c:pt idx="130">
                  <c:v>-27.576914726699769</c:v>
                </c:pt>
                <c:pt idx="131">
                  <c:v>-28.180892265860773</c:v>
                </c:pt>
                <c:pt idx="132">
                  <c:v>-28.784869805021778</c:v>
                </c:pt>
                <c:pt idx="133">
                  <c:v>-29.388847344182782</c:v>
                </c:pt>
                <c:pt idx="134">
                  <c:v>-29.992824883343786</c:v>
                </c:pt>
                <c:pt idx="135">
                  <c:v>-30.596802422504791</c:v>
                </c:pt>
                <c:pt idx="136">
                  <c:v>-31.200779961665795</c:v>
                </c:pt>
                <c:pt idx="137">
                  <c:v>-31.804757500826799</c:v>
                </c:pt>
                <c:pt idx="138">
                  <c:v>-32.408735039987803</c:v>
                </c:pt>
                <c:pt idx="139">
                  <c:v>-33.012712579148804</c:v>
                </c:pt>
                <c:pt idx="140">
                  <c:v>-33.616690118309805</c:v>
                </c:pt>
                <c:pt idx="141">
                  <c:v>-34.220667657470806</c:v>
                </c:pt>
                <c:pt idx="142">
                  <c:v>-34.824645196631806</c:v>
                </c:pt>
                <c:pt idx="143">
                  <c:v>-35.428622735792807</c:v>
                </c:pt>
                <c:pt idx="144">
                  <c:v>-36.032600274953808</c:v>
                </c:pt>
                <c:pt idx="145">
                  <c:v>-36.636577814114808</c:v>
                </c:pt>
                <c:pt idx="146">
                  <c:v>-37.240555353275809</c:v>
                </c:pt>
                <c:pt idx="147">
                  <c:v>-37.84453289243681</c:v>
                </c:pt>
                <c:pt idx="148">
                  <c:v>-38.448510431597811</c:v>
                </c:pt>
                <c:pt idx="149">
                  <c:v>-39.052487970758811</c:v>
                </c:pt>
                <c:pt idx="150">
                  <c:v>-39.656465509919812</c:v>
                </c:pt>
                <c:pt idx="151">
                  <c:v>-40.260443049080813</c:v>
                </c:pt>
                <c:pt idx="152">
                  <c:v>-40.864420588241813</c:v>
                </c:pt>
                <c:pt idx="153">
                  <c:v>-41.468398127402814</c:v>
                </c:pt>
                <c:pt idx="154">
                  <c:v>-42.072375666563815</c:v>
                </c:pt>
                <c:pt idx="155">
                  <c:v>-42.676353205724816</c:v>
                </c:pt>
                <c:pt idx="156">
                  <c:v>-43.280330744885816</c:v>
                </c:pt>
                <c:pt idx="157">
                  <c:v>-43.884308284046817</c:v>
                </c:pt>
                <c:pt idx="158">
                  <c:v>-44.488285823207818</c:v>
                </c:pt>
                <c:pt idx="159">
                  <c:v>-45.092263362368818</c:v>
                </c:pt>
                <c:pt idx="160">
                  <c:v>-45.696240901529819</c:v>
                </c:pt>
                <c:pt idx="161">
                  <c:v>-46.30021844069082</c:v>
                </c:pt>
                <c:pt idx="162">
                  <c:v>-46.904195979851821</c:v>
                </c:pt>
                <c:pt idx="163">
                  <c:v>-47.508173519012821</c:v>
                </c:pt>
                <c:pt idx="164">
                  <c:v>-48.112151058173822</c:v>
                </c:pt>
                <c:pt idx="165">
                  <c:v>-48.716128597334823</c:v>
                </c:pt>
                <c:pt idx="166">
                  <c:v>-49.320106136495824</c:v>
                </c:pt>
                <c:pt idx="167">
                  <c:v>-49.924083675656824</c:v>
                </c:pt>
                <c:pt idx="168">
                  <c:v>-50.528061214817825</c:v>
                </c:pt>
                <c:pt idx="169">
                  <c:v>-51.132038753978826</c:v>
                </c:pt>
                <c:pt idx="170">
                  <c:v>-51.736016293139826</c:v>
                </c:pt>
                <c:pt idx="171">
                  <c:v>-52.339993832300827</c:v>
                </c:pt>
                <c:pt idx="172">
                  <c:v>-52.943971371461828</c:v>
                </c:pt>
                <c:pt idx="173">
                  <c:v>-53.547948910622829</c:v>
                </c:pt>
                <c:pt idx="174">
                  <c:v>-54.151926449783829</c:v>
                </c:pt>
                <c:pt idx="175">
                  <c:v>-54.75590398894483</c:v>
                </c:pt>
                <c:pt idx="176">
                  <c:v>-55.359881528105831</c:v>
                </c:pt>
                <c:pt idx="177">
                  <c:v>-55.963859067266831</c:v>
                </c:pt>
                <c:pt idx="178">
                  <c:v>-56.567836606427832</c:v>
                </c:pt>
                <c:pt idx="179">
                  <c:v>-56.963480055293246</c:v>
                </c:pt>
                <c:pt idx="180">
                  <c:v>-56.963480055293246</c:v>
                </c:pt>
                <c:pt idx="181">
                  <c:v>-56.963480055293246</c:v>
                </c:pt>
                <c:pt idx="182">
                  <c:v>-56.963480055293246</c:v>
                </c:pt>
                <c:pt idx="183">
                  <c:v>-56.963480055293246</c:v>
                </c:pt>
                <c:pt idx="184">
                  <c:v>-56.963480055293246</c:v>
                </c:pt>
                <c:pt idx="185">
                  <c:v>-56.963480055293246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D69A-7B4E-AE60-04955D3E00BA}"/>
            </c:ext>
          </c:extLst>
        </c:ser>
        <c:ser>
          <c:idx val="2"/>
          <c:order val="2"/>
          <c:tx>
            <c:v>lamda 2s</c:v>
          </c:tx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'Grafic global'!$W$5:$W$190</c:f>
              <c:numCache>
                <c:formatCode>0.00</c:formatCode>
                <c:ptCount val="186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-22.885468806229031</c:v>
                </c:pt>
                <c:pt idx="27">
                  <c:v>-16.406184010194131</c:v>
                </c:pt>
                <c:pt idx="28">
                  <c:v>-13.486069129212494</c:v>
                </c:pt>
                <c:pt idx="29">
                  <c:v>-11.284348273673679</c:v>
                </c:pt>
                <c:pt idx="30">
                  <c:v>-9.4623074146121695</c:v>
                </c:pt>
                <c:pt idx="31">
                  <c:v>-7.8870957404835424</c:v>
                </c:pt>
                <c:pt idx="32">
                  <c:v>-6.4899239064085226</c:v>
                </c:pt>
                <c:pt idx="33">
                  <c:v>-5.2295777361587312</c:v>
                </c:pt>
                <c:pt idx="34">
                  <c:v>-4.0789885024217973</c:v>
                </c:pt>
                <c:pt idx="35">
                  <c:v>-3.0192102593744594</c:v>
                </c:pt>
                <c:pt idx="36">
                  <c:v>-2.0363470369608656</c:v>
                </c:pt>
                <c:pt idx="37">
                  <c:v>-1.1198340983746573</c:v>
                </c:pt>
                <c:pt idx="38">
                  <c:v>-0.26140764673945971</c:v>
                </c:pt>
                <c:pt idx="39">
                  <c:v>0.54554718623209131</c:v>
                </c:pt>
                <c:pt idx="40">
                  <c:v>1.3064273827412474</c:v>
                </c:pt>
                <c:pt idx="41">
                  <c:v>2.0257074434145226</c:v>
                </c:pt>
                <c:pt idx="42">
                  <c:v>2.7071480424345071</c:v>
                </c:pt>
                <c:pt idx="43">
                  <c:v>3.353947247130884</c:v>
                </c:pt>
                <c:pt idx="44">
                  <c:v>3.9688525685367417</c:v>
                </c:pt>
                <c:pt idx="45">
                  <c:v>4.554245607508018</c:v>
                </c:pt>
                <c:pt idx="46">
                  <c:v>5.1122070936511905</c:v>
                </c:pt>
                <c:pt idx="47">
                  <c:v>5.644567616250991</c:v>
                </c:pt>
                <c:pt idx="48">
                  <c:v>6.1529477294801627</c:v>
                </c:pt>
                <c:pt idx="49">
                  <c:v>6.6387900416975993</c:v>
                </c:pt>
                <c:pt idx="50">
                  <c:v>7.1033851715954199</c:v>
                </c:pt>
                <c:pt idx="51">
                  <c:v>7.547892951326804</c:v>
                </c:pt>
                <c:pt idx="52">
                  <c:v>7.973359903060234</c:v>
                </c:pt>
                <c:pt idx="53">
                  <c:v>8.3807337624946125</c:v>
                </c:pt>
                <c:pt idx="54">
                  <c:v>8.7708756393490592</c:v>
                </c:pt>
                <c:pt idx="55">
                  <c:v>9.1445702698725988</c:v>
                </c:pt>
                <c:pt idx="56">
                  <c:v>9.5025347159238081</c:v>
                </c:pt>
                <c:pt idx="57">
                  <c:v>9.8454257894869901</c:v>
                </c:pt>
                <c:pt idx="58">
                  <c:v>10.173846423888362</c:v>
                </c:pt>
                <c:pt idx="59">
                  <c:v>10.488351168702691</c:v>
                </c:pt>
                <c:pt idx="60">
                  <c:v>10.789450951001374</c:v>
                </c:pt>
                <c:pt idx="61">
                  <c:v>11.077617218729445</c:v>
                </c:pt>
                <c:pt idx="62">
                  <c:v>11.353285560816838</c:v>
                </c:pt>
                <c:pt idx="63">
                  <c:v>11.616858881800276</c:v>
                </c:pt>
                <c:pt idx="64">
                  <c:v>11.868710195268394</c:v>
                </c:pt>
                <c:pt idx="65">
                  <c:v>12.109185089597657</c:v>
                </c:pt>
                <c:pt idx="66">
                  <c:v>12.338603910658458</c:v>
                </c:pt>
                <c:pt idx="67">
                  <c:v>12.557263699003688</c:v>
                </c:pt>
                <c:pt idx="68">
                  <c:v>12.765439913177573</c:v>
                </c:pt>
                <c:pt idx="69">
                  <c:v>12.963387965936954</c:v>
                </c:pt>
                <c:pt idx="70">
                  <c:v>13.151344596164797</c:v>
                </c:pt>
                <c:pt idx="71">
                  <c:v>13.329529095911559</c:v>
                </c:pt>
                <c:pt idx="72">
                  <c:v>13.49814440920305</c:v>
                </c:pt>
                <c:pt idx="73">
                  <c:v>13.657378116902221</c:v>
                </c:pt>
                <c:pt idx="74">
                  <c:v>13.80740331992534</c:v>
                </c:pt>
                <c:pt idx="75">
                  <c:v>13.948379431428826</c:v>
                </c:pt>
                <c:pt idx="76">
                  <c:v>14.080452887146986</c:v>
                </c:pt>
                <c:pt idx="77">
                  <c:v>14.203757781832161</c:v>
                </c:pt>
                <c:pt idx="78">
                  <c:v>14.318416438691887</c:v>
                </c:pt>
                <c:pt idx="79">
                  <c:v>14.424539917805575</c:v>
                </c:pt>
                <c:pt idx="80">
                  <c:v>14.522228468710187</c:v>
                </c:pt>
                <c:pt idx="81">
                  <c:v>14.61157193165338</c:v>
                </c:pt>
                <c:pt idx="82">
                  <c:v>14.69265009140608</c:v>
                </c:pt>
                <c:pt idx="83">
                  <c:v>14.765532986990678</c:v>
                </c:pt>
                <c:pt idx="84">
                  <c:v>14.830281180205869</c:v>
                </c:pt>
                <c:pt idx="85">
                  <c:v>14.886945985402775</c:v>
                </c:pt>
                <c:pt idx="86">
                  <c:v>14.935569662583301</c:v>
                </c:pt>
                <c:pt idx="87">
                  <c:v>14.976185575541688</c:v>
                </c:pt>
                <c:pt idx="88">
                  <c:v>15.008818316448636</c:v>
                </c:pt>
                <c:pt idx="89">
                  <c:v>15.033483797978372</c:v>
                </c:pt>
                <c:pt idx="90">
                  <c:v>15.050189313797267</c:v>
                </c:pt>
                <c:pt idx="91">
                  <c:v>15.058933567964292</c:v>
                </c:pt>
                <c:pt idx="92">
                  <c:v>15.059706673534169</c:v>
                </c:pt>
                <c:pt idx="93">
                  <c:v>15.052490120398655</c:v>
                </c:pt>
                <c:pt idx="94">
                  <c:v>15.037256712148318</c:v>
                </c:pt>
                <c:pt idx="95">
                  <c:v>15.013970471479777</c:v>
                </c:pt>
                <c:pt idx="96">
                  <c:v>14.982586513410302</c:v>
                </c:pt>
                <c:pt idx="97">
                  <c:v>14.943050885287617</c:v>
                </c:pt>
                <c:pt idx="98">
                  <c:v>14.895300372292436</c:v>
                </c:pt>
                <c:pt idx="99">
                  <c:v>14.839262266823431</c:v>
                </c:pt>
                <c:pt idx="100">
                  <c:v>14.774854099818603</c:v>
                </c:pt>
                <c:pt idx="101">
                  <c:v>14.701983331703621</c:v>
                </c:pt>
                <c:pt idx="102">
                  <c:v>14.620547000253815</c:v>
                </c:pt>
                <c:pt idx="103">
                  <c:v>14.530431322210747</c:v>
                </c:pt>
                <c:pt idx="104">
                  <c:v>14.431511244992313</c:v>
                </c:pt>
                <c:pt idx="105">
                  <c:v>14.323649944270956</c:v>
                </c:pt>
                <c:pt idx="106">
                  <c:v>14.206698262553495</c:v>
                </c:pt>
                <c:pt idx="107">
                  <c:v>14.080494083164561</c:v>
                </c:pt>
                <c:pt idx="108">
                  <c:v>13.94486163319713</c:v>
                </c:pt>
                <c:pt idx="109">
                  <c:v>13.799610708026156</c:v>
                </c:pt>
                <c:pt idx="110">
                  <c:v>13.644535808861775</c:v>
                </c:pt>
                <c:pt idx="111">
                  <c:v>13.479415183515552</c:v>
                </c:pt>
                <c:pt idx="112">
                  <c:v>13.304009759031524</c:v>
                </c:pt>
                <c:pt idx="113">
                  <c:v>13.118061953046801</c:v>
                </c:pt>
                <c:pt idx="114">
                  <c:v>12.92129434864157</c:v>
                </c:pt>
                <c:pt idx="115">
                  <c:v>12.713408214945314</c:v>
                </c:pt>
                <c:pt idx="116">
                  <c:v>12.49408185280185</c:v>
                </c:pt>
                <c:pt idx="117">
                  <c:v>12.262968741253999</c:v>
                </c:pt>
                <c:pt idx="118">
                  <c:v>12.019695456357677</c:v>
                </c:pt>
                <c:pt idx="119">
                  <c:v>11.763859328706177</c:v>
                </c:pt>
                <c:pt idx="120">
                  <c:v>11.49502579982644</c:v>
                </c:pt>
                <c:pt idx="121">
                  <c:v>11.21272543002747</c:v>
                </c:pt>
                <c:pt idx="122">
                  <c:v>10.916450500984839</c:v>
                </c:pt>
                <c:pt idx="123">
                  <c:v>10.605651144881028</c:v>
                </c:pt>
                <c:pt idx="124">
                  <c:v>10.279730917691495</c:v>
                </c:pt>
                <c:pt idx="125">
                  <c:v>9.9380417164281933</c:v>
                </c:pt>
                <c:pt idx="126">
                  <c:v>9.5798779177846747</c:v>
                </c:pt>
                <c:pt idx="127">
                  <c:v>9.2044695872700135</c:v>
                </c:pt>
                <c:pt idx="128">
                  <c:v>8.8109745716867476</c:v>
                </c:pt>
                <c:pt idx="129">
                  <c:v>8.3984692411117958</c:v>
                </c:pt>
                <c:pt idx="130">
                  <c:v>7.9659375858101624</c:v>
                </c:pt>
                <c:pt idx="131">
                  <c:v>7.5122582937523292</c:v>
                </c:pt>
                <c:pt idx="132">
                  <c:v>7.0361893285432977</c:v>
                </c:pt>
                <c:pt idx="133">
                  <c:v>6.5363493854541099</c:v>
                </c:pt>
                <c:pt idx="134">
                  <c:v>6.0111954100863318</c:v>
                </c:pt>
                <c:pt idx="135">
                  <c:v>5.4589950981194502</c:v>
                </c:pt>
                <c:pt idx="136">
                  <c:v>4.8777929226500074</c:v>
                </c:pt>
                <c:pt idx="137">
                  <c:v>4.2653677072969947</c:v>
                </c:pt>
                <c:pt idx="138">
                  <c:v>3.6191789993659391</c:v>
                </c:pt>
                <c:pt idx="139">
                  <c:v>2.9362983710855186</c:v>
                </c:pt>
                <c:pt idx="140">
                  <c:v>2.2133200797312265</c:v>
                </c:pt>
                <c:pt idx="141">
                  <c:v>1.4462428966947094</c:v>
                </c:pt>
                <c:pt idx="142">
                  <c:v>0.63031075556812077</c:v>
                </c:pt>
                <c:pt idx="143">
                  <c:v>-0.24020694439888093</c:v>
                </c:pt>
                <c:pt idx="144">
                  <c:v>-1.1723261131048905</c:v>
                </c:pt>
                <c:pt idx="145">
                  <c:v>-2.1748010434059779</c:v>
                </c:pt>
                <c:pt idx="146">
                  <c:v>-3.2588091169800748</c:v>
                </c:pt>
                <c:pt idx="147">
                  <c:v>-4.4390316929192961</c:v>
                </c:pt>
                <c:pt idx="148">
                  <c:v>-5.7354552975296489</c:v>
                </c:pt>
                <c:pt idx="149">
                  <c:v>-7.1765878562059706</c:v>
                </c:pt>
                <c:pt idx="150">
                  <c:v>-8.8057531731831098</c:v>
                </c:pt>
                <c:pt idx="151">
                  <c:v>-10.695100107177311</c:v>
                </c:pt>
                <c:pt idx="152">
                  <c:v>-12.983558234535748</c:v>
                </c:pt>
                <c:pt idx="153">
                  <c:v>-16.023592994088766</c:v>
                </c:pt>
                <c:pt idx="154">
                  <c:v>-22.578403648658917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</c:numCache>
            </c:numRef>
          </c:xVal>
          <c:yVal>
            <c:numRef>
              <c:f>'Grafic global'!$M$5:$M$190</c:f>
              <c:numCache>
                <c:formatCode>0.00\°;[Red]0.00\°</c:formatCode>
                <c:ptCount val="186"/>
                <c:pt idx="0">
                  <c:v>50.236037975847395</c:v>
                </c:pt>
                <c:pt idx="1">
                  <c:v>50.236037975847395</c:v>
                </c:pt>
                <c:pt idx="2">
                  <c:v>49.732210285908657</c:v>
                </c:pt>
                <c:pt idx="3">
                  <c:v>49.128232746747656</c:v>
                </c:pt>
                <c:pt idx="4">
                  <c:v>48.524255207586656</c:v>
                </c:pt>
                <c:pt idx="5">
                  <c:v>47.920277668425655</c:v>
                </c:pt>
                <c:pt idx="6">
                  <c:v>47.316300129264654</c:v>
                </c:pt>
                <c:pt idx="7">
                  <c:v>46.712322590103653</c:v>
                </c:pt>
                <c:pt idx="8">
                  <c:v>46.108345050942653</c:v>
                </c:pt>
                <c:pt idx="9">
                  <c:v>45.504367511781652</c:v>
                </c:pt>
                <c:pt idx="10">
                  <c:v>44.900389972620651</c:v>
                </c:pt>
                <c:pt idx="11">
                  <c:v>44.296412433459651</c:v>
                </c:pt>
                <c:pt idx="12">
                  <c:v>43.69243489429865</c:v>
                </c:pt>
                <c:pt idx="13">
                  <c:v>43.088457355137649</c:v>
                </c:pt>
                <c:pt idx="14">
                  <c:v>42.484479815976648</c:v>
                </c:pt>
                <c:pt idx="15">
                  <c:v>41.880502276815648</c:v>
                </c:pt>
                <c:pt idx="16">
                  <c:v>41.276524737654647</c:v>
                </c:pt>
                <c:pt idx="17">
                  <c:v>40.672547198493646</c:v>
                </c:pt>
                <c:pt idx="18">
                  <c:v>40.068569659332645</c:v>
                </c:pt>
                <c:pt idx="19">
                  <c:v>39.464592120171645</c:v>
                </c:pt>
                <c:pt idx="20">
                  <c:v>38.860614581010644</c:v>
                </c:pt>
                <c:pt idx="21">
                  <c:v>38.256637041849643</c:v>
                </c:pt>
                <c:pt idx="22">
                  <c:v>37.652659502688643</c:v>
                </c:pt>
                <c:pt idx="23">
                  <c:v>37.048681963527642</c:v>
                </c:pt>
                <c:pt idx="24">
                  <c:v>36.444704424366641</c:v>
                </c:pt>
                <c:pt idx="25">
                  <c:v>35.84072688520564</c:v>
                </c:pt>
                <c:pt idx="26">
                  <c:v>35.23674934604464</c:v>
                </c:pt>
                <c:pt idx="27">
                  <c:v>34.632771806883639</c:v>
                </c:pt>
                <c:pt idx="28">
                  <c:v>34.028794267722638</c:v>
                </c:pt>
                <c:pt idx="29">
                  <c:v>33.424816728561638</c:v>
                </c:pt>
                <c:pt idx="30">
                  <c:v>32.820839189400637</c:v>
                </c:pt>
                <c:pt idx="31">
                  <c:v>32.216861650239636</c:v>
                </c:pt>
                <c:pt idx="32">
                  <c:v>31.612884111078632</c:v>
                </c:pt>
                <c:pt idx="33">
                  <c:v>31.008906571917628</c:v>
                </c:pt>
                <c:pt idx="34">
                  <c:v>30.404929032756623</c:v>
                </c:pt>
                <c:pt idx="35">
                  <c:v>29.800951493595619</c:v>
                </c:pt>
                <c:pt idx="36">
                  <c:v>29.196973954434615</c:v>
                </c:pt>
                <c:pt idx="37">
                  <c:v>28.59299641527361</c:v>
                </c:pt>
                <c:pt idx="38">
                  <c:v>27.989018876112606</c:v>
                </c:pt>
                <c:pt idx="39">
                  <c:v>27.385041336951602</c:v>
                </c:pt>
                <c:pt idx="40">
                  <c:v>26.781063797790598</c:v>
                </c:pt>
                <c:pt idx="41">
                  <c:v>26.177086258629593</c:v>
                </c:pt>
                <c:pt idx="42">
                  <c:v>25.573108719468589</c:v>
                </c:pt>
                <c:pt idx="43">
                  <c:v>24.969131180307585</c:v>
                </c:pt>
                <c:pt idx="44">
                  <c:v>24.365153641146581</c:v>
                </c:pt>
                <c:pt idx="45">
                  <c:v>23.761176101985576</c:v>
                </c:pt>
                <c:pt idx="46">
                  <c:v>23.157198562824572</c:v>
                </c:pt>
                <c:pt idx="47">
                  <c:v>22.553221023663568</c:v>
                </c:pt>
                <c:pt idx="48">
                  <c:v>21.949243484502563</c:v>
                </c:pt>
                <c:pt idx="49">
                  <c:v>21.345265945341559</c:v>
                </c:pt>
                <c:pt idx="50">
                  <c:v>20.741288406180555</c:v>
                </c:pt>
                <c:pt idx="51">
                  <c:v>20.137310867019551</c:v>
                </c:pt>
                <c:pt idx="52">
                  <c:v>19.533333327858546</c:v>
                </c:pt>
                <c:pt idx="53">
                  <c:v>18.929355788697542</c:v>
                </c:pt>
                <c:pt idx="54">
                  <c:v>18.325378249536538</c:v>
                </c:pt>
                <c:pt idx="55">
                  <c:v>17.721400710375534</c:v>
                </c:pt>
                <c:pt idx="56">
                  <c:v>17.117423171214529</c:v>
                </c:pt>
                <c:pt idx="57">
                  <c:v>16.513445632053525</c:v>
                </c:pt>
                <c:pt idx="58">
                  <c:v>15.909468092892521</c:v>
                </c:pt>
                <c:pt idx="59">
                  <c:v>15.305490553731516</c:v>
                </c:pt>
                <c:pt idx="60">
                  <c:v>14.701513014570512</c:v>
                </c:pt>
                <c:pt idx="61">
                  <c:v>14.097535475409508</c:v>
                </c:pt>
                <c:pt idx="62">
                  <c:v>13.493557936248504</c:v>
                </c:pt>
                <c:pt idx="63">
                  <c:v>12.889580397087499</c:v>
                </c:pt>
                <c:pt idx="64">
                  <c:v>12.285602857926495</c:v>
                </c:pt>
                <c:pt idx="65">
                  <c:v>11.681625318765491</c:v>
                </c:pt>
                <c:pt idx="66">
                  <c:v>11.077647779604487</c:v>
                </c:pt>
                <c:pt idx="67">
                  <c:v>10.473670240443482</c:v>
                </c:pt>
                <c:pt idx="68">
                  <c:v>9.869692701282478</c:v>
                </c:pt>
                <c:pt idx="69">
                  <c:v>9.2657151621214737</c:v>
                </c:pt>
                <c:pt idx="70">
                  <c:v>8.6617376229604695</c:v>
                </c:pt>
                <c:pt idx="71">
                  <c:v>8.0577600837994652</c:v>
                </c:pt>
                <c:pt idx="72">
                  <c:v>7.4537825446384618</c:v>
                </c:pt>
                <c:pt idx="73">
                  <c:v>6.8498050054774584</c:v>
                </c:pt>
                <c:pt idx="74">
                  <c:v>6.245827466316455</c:v>
                </c:pt>
                <c:pt idx="75">
                  <c:v>5.6418499271554516</c:v>
                </c:pt>
                <c:pt idx="76">
                  <c:v>5.0378723879944483</c:v>
                </c:pt>
                <c:pt idx="77">
                  <c:v>4.4338948488334449</c:v>
                </c:pt>
                <c:pt idx="78">
                  <c:v>3.829917309672441</c:v>
                </c:pt>
                <c:pt idx="79">
                  <c:v>3.2259397705114372</c:v>
                </c:pt>
                <c:pt idx="80">
                  <c:v>2.6219622313504334</c:v>
                </c:pt>
                <c:pt idx="81">
                  <c:v>2.0179846921894296</c:v>
                </c:pt>
                <c:pt idx="82">
                  <c:v>1.4140071530284257</c:v>
                </c:pt>
                <c:pt idx="83">
                  <c:v>0.810029613867422</c:v>
                </c:pt>
                <c:pt idx="84">
                  <c:v>0.20605207470641829</c:v>
                </c:pt>
                <c:pt idx="85">
                  <c:v>-0.39792546445458543</c:v>
                </c:pt>
                <c:pt idx="86">
                  <c:v>-1.0019030036155891</c:v>
                </c:pt>
                <c:pt idx="87">
                  <c:v>-1.605880542776593</c:v>
                </c:pt>
                <c:pt idx="88">
                  <c:v>-2.2098580819375968</c:v>
                </c:pt>
                <c:pt idx="89">
                  <c:v>-2.8138356210986006</c:v>
                </c:pt>
                <c:pt idx="90">
                  <c:v>-3.4178131602596045</c:v>
                </c:pt>
                <c:pt idx="91">
                  <c:v>-4.0217906994206079</c:v>
                </c:pt>
                <c:pt idx="92">
                  <c:v>-4.6257682385816112</c:v>
                </c:pt>
                <c:pt idx="93">
                  <c:v>-5.2297457777426146</c:v>
                </c:pt>
                <c:pt idx="94">
                  <c:v>-5.833723316903618</c:v>
                </c:pt>
                <c:pt idx="95">
                  <c:v>-6.4377008560646214</c:v>
                </c:pt>
                <c:pt idx="96">
                  <c:v>-7.0416783952256248</c:v>
                </c:pt>
                <c:pt idx="97">
                  <c:v>-7.6456559343866282</c:v>
                </c:pt>
                <c:pt idx="98">
                  <c:v>-8.2496334735476324</c:v>
                </c:pt>
                <c:pt idx="99">
                  <c:v>-8.8536110127086367</c:v>
                </c:pt>
                <c:pt idx="100">
                  <c:v>-9.457588551869641</c:v>
                </c:pt>
                <c:pt idx="101">
                  <c:v>-10.061566091030645</c:v>
                </c:pt>
                <c:pt idx="102">
                  <c:v>-10.66554363019165</c:v>
                </c:pt>
                <c:pt idx="103">
                  <c:v>-11.269521169352654</c:v>
                </c:pt>
                <c:pt idx="104">
                  <c:v>-11.873498708513658</c:v>
                </c:pt>
                <c:pt idx="105">
                  <c:v>-12.477476247674662</c:v>
                </c:pt>
                <c:pt idx="106">
                  <c:v>-13.081453786835667</c:v>
                </c:pt>
                <c:pt idx="107">
                  <c:v>-13.685431325996671</c:v>
                </c:pt>
                <c:pt idx="108">
                  <c:v>-14.289408865157675</c:v>
                </c:pt>
                <c:pt idx="109">
                  <c:v>-14.893386404318679</c:v>
                </c:pt>
                <c:pt idx="110">
                  <c:v>-15.497363943479684</c:v>
                </c:pt>
                <c:pt idx="111">
                  <c:v>-16.101341482640688</c:v>
                </c:pt>
                <c:pt idx="112">
                  <c:v>-16.705319021801692</c:v>
                </c:pt>
                <c:pt idx="113">
                  <c:v>-17.309296560962697</c:v>
                </c:pt>
                <c:pt idx="114">
                  <c:v>-17.913274100123701</c:v>
                </c:pt>
                <c:pt idx="115">
                  <c:v>-18.517251639284705</c:v>
                </c:pt>
                <c:pt idx="116">
                  <c:v>-19.121229178445709</c:v>
                </c:pt>
                <c:pt idx="117">
                  <c:v>-19.725206717606714</c:v>
                </c:pt>
                <c:pt idx="118">
                  <c:v>-20.329184256767718</c:v>
                </c:pt>
                <c:pt idx="119">
                  <c:v>-20.933161795928722</c:v>
                </c:pt>
                <c:pt idx="120">
                  <c:v>-21.537139335089726</c:v>
                </c:pt>
                <c:pt idx="121">
                  <c:v>-22.141116874250731</c:v>
                </c:pt>
                <c:pt idx="122">
                  <c:v>-22.745094413411735</c:v>
                </c:pt>
                <c:pt idx="123">
                  <c:v>-23.349071952572739</c:v>
                </c:pt>
                <c:pt idx="124">
                  <c:v>-23.953049491733744</c:v>
                </c:pt>
                <c:pt idx="125">
                  <c:v>-24.557027030894748</c:v>
                </c:pt>
                <c:pt idx="126">
                  <c:v>-25.161004570055752</c:v>
                </c:pt>
                <c:pt idx="127">
                  <c:v>-25.764982109216756</c:v>
                </c:pt>
                <c:pt idx="128">
                  <c:v>-26.368959648377761</c:v>
                </c:pt>
                <c:pt idx="129">
                  <c:v>-26.972937187538765</c:v>
                </c:pt>
                <c:pt idx="130">
                  <c:v>-27.576914726699769</c:v>
                </c:pt>
                <c:pt idx="131">
                  <c:v>-28.180892265860773</c:v>
                </c:pt>
                <c:pt idx="132">
                  <c:v>-28.784869805021778</c:v>
                </c:pt>
                <c:pt idx="133">
                  <c:v>-29.388847344182782</c:v>
                </c:pt>
                <c:pt idx="134">
                  <c:v>-29.992824883343786</c:v>
                </c:pt>
                <c:pt idx="135">
                  <c:v>-30.596802422504791</c:v>
                </c:pt>
                <c:pt idx="136">
                  <c:v>-31.200779961665795</c:v>
                </c:pt>
                <c:pt idx="137">
                  <c:v>-31.804757500826799</c:v>
                </c:pt>
                <c:pt idx="138">
                  <c:v>-32.408735039987803</c:v>
                </c:pt>
                <c:pt idx="139">
                  <c:v>-33.012712579148804</c:v>
                </c:pt>
                <c:pt idx="140">
                  <c:v>-33.616690118309805</c:v>
                </c:pt>
                <c:pt idx="141">
                  <c:v>-34.220667657470806</c:v>
                </c:pt>
                <c:pt idx="142">
                  <c:v>-34.824645196631806</c:v>
                </c:pt>
                <c:pt idx="143">
                  <c:v>-35.428622735792807</c:v>
                </c:pt>
                <c:pt idx="144">
                  <c:v>-36.032600274953808</c:v>
                </c:pt>
                <c:pt idx="145">
                  <c:v>-36.636577814114808</c:v>
                </c:pt>
                <c:pt idx="146">
                  <c:v>-37.240555353275809</c:v>
                </c:pt>
                <c:pt idx="147">
                  <c:v>-37.84453289243681</c:v>
                </c:pt>
                <c:pt idx="148">
                  <c:v>-38.448510431597811</c:v>
                </c:pt>
                <c:pt idx="149">
                  <c:v>-39.052487970758811</c:v>
                </c:pt>
                <c:pt idx="150">
                  <c:v>-39.656465509919812</c:v>
                </c:pt>
                <c:pt idx="151">
                  <c:v>-40.260443049080813</c:v>
                </c:pt>
                <c:pt idx="152">
                  <c:v>-40.864420588241813</c:v>
                </c:pt>
                <c:pt idx="153">
                  <c:v>-41.468398127402814</c:v>
                </c:pt>
                <c:pt idx="154">
                  <c:v>-42.072375666563815</c:v>
                </c:pt>
                <c:pt idx="155">
                  <c:v>-42.676353205724816</c:v>
                </c:pt>
                <c:pt idx="156">
                  <c:v>-43.280330744885816</c:v>
                </c:pt>
                <c:pt idx="157">
                  <c:v>-43.884308284046817</c:v>
                </c:pt>
                <c:pt idx="158">
                  <c:v>-44.488285823207818</c:v>
                </c:pt>
                <c:pt idx="159">
                  <c:v>-45.092263362368818</c:v>
                </c:pt>
                <c:pt idx="160">
                  <c:v>-45.696240901529819</c:v>
                </c:pt>
                <c:pt idx="161">
                  <c:v>-46.30021844069082</c:v>
                </c:pt>
                <c:pt idx="162">
                  <c:v>-46.904195979851821</c:v>
                </c:pt>
                <c:pt idx="163">
                  <c:v>-47.508173519012821</c:v>
                </c:pt>
                <c:pt idx="164">
                  <c:v>-48.112151058173822</c:v>
                </c:pt>
                <c:pt idx="165">
                  <c:v>-48.716128597334823</c:v>
                </c:pt>
                <c:pt idx="166">
                  <c:v>-49.320106136495824</c:v>
                </c:pt>
                <c:pt idx="167">
                  <c:v>-49.924083675656824</c:v>
                </c:pt>
                <c:pt idx="168">
                  <c:v>-50.528061214817825</c:v>
                </c:pt>
                <c:pt idx="169">
                  <c:v>-51.132038753978826</c:v>
                </c:pt>
                <c:pt idx="170">
                  <c:v>-51.736016293139826</c:v>
                </c:pt>
                <c:pt idx="171">
                  <c:v>-52.339993832300827</c:v>
                </c:pt>
                <c:pt idx="172">
                  <c:v>-52.943971371461828</c:v>
                </c:pt>
                <c:pt idx="173">
                  <c:v>-53.547948910622829</c:v>
                </c:pt>
                <c:pt idx="174">
                  <c:v>-54.151926449783829</c:v>
                </c:pt>
                <c:pt idx="175">
                  <c:v>-54.75590398894483</c:v>
                </c:pt>
                <c:pt idx="176">
                  <c:v>-55.359881528105831</c:v>
                </c:pt>
                <c:pt idx="177">
                  <c:v>-55.963859067266831</c:v>
                </c:pt>
                <c:pt idx="178">
                  <c:v>-56.567836606427832</c:v>
                </c:pt>
                <c:pt idx="179">
                  <c:v>-56.963480055293246</c:v>
                </c:pt>
                <c:pt idx="180">
                  <c:v>-56.963480055293246</c:v>
                </c:pt>
                <c:pt idx="181">
                  <c:v>-56.963480055293246</c:v>
                </c:pt>
                <c:pt idx="182">
                  <c:v>-56.963480055293246</c:v>
                </c:pt>
                <c:pt idx="183">
                  <c:v>-56.963480055293246</c:v>
                </c:pt>
                <c:pt idx="184">
                  <c:v>-56.963480055293246</c:v>
                </c:pt>
                <c:pt idx="185">
                  <c:v>-56.963480055293246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D69A-7B4E-AE60-04955D3E00BA}"/>
            </c:ext>
          </c:extLst>
        </c:ser>
        <c:ser>
          <c:idx val="3"/>
          <c:order val="3"/>
          <c:tx>
            <c:v>lamda 2</c:v>
          </c:tx>
          <c:spPr>
            <a:ln w="22225" cap="rnd">
              <a:solidFill>
                <a:srgbClr val="FFA1A3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'Grafic global'!$V$5:$V$190</c:f>
              <c:numCache>
                <c:formatCode>0.00</c:formatCode>
                <c:ptCount val="186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-24.486672197161361</c:v>
                </c:pt>
                <c:pt idx="27">
                  <c:v>-30.965956993196258</c:v>
                </c:pt>
                <c:pt idx="28">
                  <c:v>-33.886071874177901</c:v>
                </c:pt>
                <c:pt idx="29">
                  <c:v>-36.08779272971671</c:v>
                </c:pt>
                <c:pt idx="30">
                  <c:v>-37.909833588778227</c:v>
                </c:pt>
                <c:pt idx="31">
                  <c:v>-39.485045262906851</c:v>
                </c:pt>
                <c:pt idx="32">
                  <c:v>-40.882217096981869</c:v>
                </c:pt>
                <c:pt idx="33">
                  <c:v>-42.142563267231658</c:v>
                </c:pt>
                <c:pt idx="34">
                  <c:v>-43.293152500968596</c:v>
                </c:pt>
                <c:pt idx="35">
                  <c:v>-44.352930744015936</c:v>
                </c:pt>
                <c:pt idx="36">
                  <c:v>-45.335793966429527</c:v>
                </c:pt>
                <c:pt idx="37">
                  <c:v>-46.252306905015736</c:v>
                </c:pt>
                <c:pt idx="38">
                  <c:v>-47.110733356650933</c:v>
                </c:pt>
                <c:pt idx="39">
                  <c:v>-47.917688189622481</c:v>
                </c:pt>
                <c:pt idx="40">
                  <c:v>-48.678568386131637</c:v>
                </c:pt>
                <c:pt idx="41">
                  <c:v>-49.397848446804915</c:v>
                </c:pt>
                <c:pt idx="42">
                  <c:v>-50.0792890458249</c:v>
                </c:pt>
                <c:pt idx="43">
                  <c:v>-50.726088250521279</c:v>
                </c:pt>
                <c:pt idx="44">
                  <c:v>-51.340993571927136</c:v>
                </c:pt>
                <c:pt idx="45">
                  <c:v>-51.926386610898412</c:v>
                </c:pt>
                <c:pt idx="46">
                  <c:v>-52.484348097041583</c:v>
                </c:pt>
                <c:pt idx="47">
                  <c:v>-53.016708619641385</c:v>
                </c:pt>
                <c:pt idx="48">
                  <c:v>-53.525088732870557</c:v>
                </c:pt>
                <c:pt idx="49">
                  <c:v>-54.010931045087993</c:v>
                </c:pt>
                <c:pt idx="50">
                  <c:v>-54.475526174985809</c:v>
                </c:pt>
                <c:pt idx="51">
                  <c:v>-54.920033954717198</c:v>
                </c:pt>
                <c:pt idx="52">
                  <c:v>-55.345500906450624</c:v>
                </c:pt>
                <c:pt idx="53">
                  <c:v>-55.752874765885004</c:v>
                </c:pt>
                <c:pt idx="54">
                  <c:v>-56.143016642739454</c:v>
                </c:pt>
                <c:pt idx="55">
                  <c:v>-56.516711273262992</c:v>
                </c:pt>
                <c:pt idx="56">
                  <c:v>-56.874675719314205</c:v>
                </c:pt>
                <c:pt idx="57">
                  <c:v>-57.217566792877385</c:v>
                </c:pt>
                <c:pt idx="58">
                  <c:v>-57.54598742727876</c:v>
                </c:pt>
                <c:pt idx="59">
                  <c:v>-57.860492172093082</c:v>
                </c:pt>
                <c:pt idx="60">
                  <c:v>-58.161591954391767</c:v>
                </c:pt>
                <c:pt idx="61">
                  <c:v>-58.44975822211984</c:v>
                </c:pt>
                <c:pt idx="62">
                  <c:v>-58.72542656420724</c:v>
                </c:pt>
                <c:pt idx="63">
                  <c:v>-58.988999885190665</c:v>
                </c:pt>
                <c:pt idx="64">
                  <c:v>-59.240851198658781</c:v>
                </c:pt>
                <c:pt idx="65">
                  <c:v>-59.481326092988049</c:v>
                </c:pt>
                <c:pt idx="66">
                  <c:v>-59.710744914048853</c:v>
                </c:pt>
                <c:pt idx="67">
                  <c:v>-59.929404702394073</c:v>
                </c:pt>
                <c:pt idx="68">
                  <c:v>-60.13758091656797</c:v>
                </c:pt>
                <c:pt idx="69">
                  <c:v>-60.335528969327349</c:v>
                </c:pt>
                <c:pt idx="70">
                  <c:v>-60.52348559955518</c:v>
                </c:pt>
                <c:pt idx="71">
                  <c:v>-60.701670099301957</c:v>
                </c:pt>
                <c:pt idx="72">
                  <c:v>-60.870285412593446</c:v>
                </c:pt>
                <c:pt idx="73">
                  <c:v>-61.029519120292612</c:v>
                </c:pt>
                <c:pt idx="74">
                  <c:v>-61.179544323315739</c:v>
                </c:pt>
                <c:pt idx="75">
                  <c:v>-61.320520434819223</c:v>
                </c:pt>
                <c:pt idx="76">
                  <c:v>-61.452593890537379</c:v>
                </c:pt>
                <c:pt idx="77">
                  <c:v>-61.575898785222556</c:v>
                </c:pt>
                <c:pt idx="78">
                  <c:v>-61.690557442082287</c:v>
                </c:pt>
                <c:pt idx="79">
                  <c:v>-61.796680921195957</c:v>
                </c:pt>
                <c:pt idx="80">
                  <c:v>-61.894369472100585</c:v>
                </c:pt>
                <c:pt idx="81">
                  <c:v>-61.983712935043776</c:v>
                </c:pt>
                <c:pt idx="82">
                  <c:v>-62.064791094796476</c:v>
                </c:pt>
                <c:pt idx="83">
                  <c:v>-62.137673990381074</c:v>
                </c:pt>
                <c:pt idx="84">
                  <c:v>-62.202422183596255</c:v>
                </c:pt>
                <c:pt idx="85">
                  <c:v>-62.259086988793172</c:v>
                </c:pt>
                <c:pt idx="86">
                  <c:v>-62.307710665973694</c:v>
                </c:pt>
                <c:pt idx="87">
                  <c:v>-62.348326578932081</c:v>
                </c:pt>
                <c:pt idx="88">
                  <c:v>-62.380959319839036</c:v>
                </c:pt>
                <c:pt idx="89">
                  <c:v>-62.405624801368766</c:v>
                </c:pt>
                <c:pt idx="90">
                  <c:v>-62.422330317187658</c:v>
                </c:pt>
                <c:pt idx="91">
                  <c:v>-62.431074571354685</c:v>
                </c:pt>
                <c:pt idx="92">
                  <c:v>-62.431847676924562</c:v>
                </c:pt>
                <c:pt idx="93">
                  <c:v>-62.424631123789048</c:v>
                </c:pt>
                <c:pt idx="94">
                  <c:v>-62.409397715538717</c:v>
                </c:pt>
                <c:pt idx="95">
                  <c:v>-62.386111474870177</c:v>
                </c:pt>
                <c:pt idx="96">
                  <c:v>-62.3547275168007</c:v>
                </c:pt>
                <c:pt idx="97">
                  <c:v>-62.315191888678001</c:v>
                </c:pt>
                <c:pt idx="98">
                  <c:v>-62.267441375682822</c:v>
                </c:pt>
                <c:pt idx="99">
                  <c:v>-62.211403270213815</c:v>
                </c:pt>
                <c:pt idx="100">
                  <c:v>-62.146995103209001</c:v>
                </c:pt>
                <c:pt idx="101">
                  <c:v>-62.074124335094005</c:v>
                </c:pt>
                <c:pt idx="102">
                  <c:v>-61.992688003644204</c:v>
                </c:pt>
                <c:pt idx="103">
                  <c:v>-61.902572325601142</c:v>
                </c:pt>
                <c:pt idx="104">
                  <c:v>-61.803652248382704</c:v>
                </c:pt>
                <c:pt idx="105">
                  <c:v>-61.695790947661358</c:v>
                </c:pt>
                <c:pt idx="106">
                  <c:v>-61.578839265943884</c:v>
                </c:pt>
                <c:pt idx="107">
                  <c:v>-61.452635086554963</c:v>
                </c:pt>
                <c:pt idx="108">
                  <c:v>-61.317002636587517</c:v>
                </c:pt>
                <c:pt idx="109">
                  <c:v>-61.171751711416547</c:v>
                </c:pt>
                <c:pt idx="110">
                  <c:v>-61.016676812252172</c:v>
                </c:pt>
                <c:pt idx="111">
                  <c:v>-60.851556186905945</c:v>
                </c:pt>
                <c:pt idx="112">
                  <c:v>-60.676150762421919</c:v>
                </c:pt>
                <c:pt idx="113">
                  <c:v>-60.490202956437194</c:v>
                </c:pt>
                <c:pt idx="114">
                  <c:v>-60.29343535203197</c:v>
                </c:pt>
                <c:pt idx="115">
                  <c:v>-60.0855492183357</c:v>
                </c:pt>
                <c:pt idx="116">
                  <c:v>-59.866222856192245</c:v>
                </c:pt>
                <c:pt idx="117">
                  <c:v>-59.635109744644389</c:v>
                </c:pt>
                <c:pt idx="118">
                  <c:v>-59.391836459748063</c:v>
                </c:pt>
                <c:pt idx="119">
                  <c:v>-59.136000332096572</c:v>
                </c:pt>
                <c:pt idx="120">
                  <c:v>-58.86716680321684</c:v>
                </c:pt>
                <c:pt idx="121">
                  <c:v>-58.584866433417865</c:v>
                </c:pt>
                <c:pt idx="122">
                  <c:v>-58.288591504375226</c:v>
                </c:pt>
                <c:pt idx="123">
                  <c:v>-57.977792148271419</c:v>
                </c:pt>
                <c:pt idx="124">
                  <c:v>-57.651871921081892</c:v>
                </c:pt>
                <c:pt idx="125">
                  <c:v>-57.310182719818584</c:v>
                </c:pt>
                <c:pt idx="126">
                  <c:v>-56.952018921175068</c:v>
                </c:pt>
                <c:pt idx="127">
                  <c:v>-56.576610590660408</c:v>
                </c:pt>
                <c:pt idx="128">
                  <c:v>-56.183115575077139</c:v>
                </c:pt>
                <c:pt idx="129">
                  <c:v>-55.770610244502187</c:v>
                </c:pt>
                <c:pt idx="130">
                  <c:v>-55.338078589200556</c:v>
                </c:pt>
                <c:pt idx="131">
                  <c:v>-54.884399297142721</c:v>
                </c:pt>
                <c:pt idx="132">
                  <c:v>-54.408330331933691</c:v>
                </c:pt>
                <c:pt idx="133">
                  <c:v>-53.908490388844506</c:v>
                </c:pt>
                <c:pt idx="134">
                  <c:v>-53.383336413476727</c:v>
                </c:pt>
                <c:pt idx="135">
                  <c:v>-52.831136101509841</c:v>
                </c:pt>
                <c:pt idx="136">
                  <c:v>-52.249933926040399</c:v>
                </c:pt>
                <c:pt idx="137">
                  <c:v>-51.637508710687385</c:v>
                </c:pt>
                <c:pt idx="138">
                  <c:v>-50.991320002756332</c:v>
                </c:pt>
                <c:pt idx="139">
                  <c:v>-50.30843937447591</c:v>
                </c:pt>
                <c:pt idx="140">
                  <c:v>-49.585461083121622</c:v>
                </c:pt>
                <c:pt idx="141">
                  <c:v>-48.818383900085102</c:v>
                </c:pt>
                <c:pt idx="142">
                  <c:v>-48.002451758958514</c:v>
                </c:pt>
                <c:pt idx="143">
                  <c:v>-47.131934058991511</c:v>
                </c:pt>
                <c:pt idx="144">
                  <c:v>-46.199814890285502</c:v>
                </c:pt>
                <c:pt idx="145">
                  <c:v>-45.197339959984411</c:v>
                </c:pt>
                <c:pt idx="146">
                  <c:v>-44.113331886410315</c:v>
                </c:pt>
                <c:pt idx="147">
                  <c:v>-42.933109310471096</c:v>
                </c:pt>
                <c:pt idx="148">
                  <c:v>-41.636685705860742</c:v>
                </c:pt>
                <c:pt idx="149">
                  <c:v>-40.19555314718442</c:v>
                </c:pt>
                <c:pt idx="150">
                  <c:v>-38.566387830207283</c:v>
                </c:pt>
                <c:pt idx="151">
                  <c:v>-36.677040896213079</c:v>
                </c:pt>
                <c:pt idx="152">
                  <c:v>-34.388582768854647</c:v>
                </c:pt>
                <c:pt idx="153">
                  <c:v>-31.348548009301627</c:v>
                </c:pt>
                <c:pt idx="154">
                  <c:v>-24.793737354731476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</c:numCache>
            </c:numRef>
          </c:xVal>
          <c:yVal>
            <c:numRef>
              <c:f>'Grafic global'!$M$5:$M$190</c:f>
              <c:numCache>
                <c:formatCode>0.00\°;[Red]0.00\°</c:formatCode>
                <c:ptCount val="186"/>
                <c:pt idx="0">
                  <c:v>50.236037975847395</c:v>
                </c:pt>
                <c:pt idx="1">
                  <c:v>50.236037975847395</c:v>
                </c:pt>
                <c:pt idx="2">
                  <c:v>49.732210285908657</c:v>
                </c:pt>
                <c:pt idx="3">
                  <c:v>49.128232746747656</c:v>
                </c:pt>
                <c:pt idx="4">
                  <c:v>48.524255207586656</c:v>
                </c:pt>
                <c:pt idx="5">
                  <c:v>47.920277668425655</c:v>
                </c:pt>
                <c:pt idx="6">
                  <c:v>47.316300129264654</c:v>
                </c:pt>
                <c:pt idx="7">
                  <c:v>46.712322590103653</c:v>
                </c:pt>
                <c:pt idx="8">
                  <c:v>46.108345050942653</c:v>
                </c:pt>
                <c:pt idx="9">
                  <c:v>45.504367511781652</c:v>
                </c:pt>
                <c:pt idx="10">
                  <c:v>44.900389972620651</c:v>
                </c:pt>
                <c:pt idx="11">
                  <c:v>44.296412433459651</c:v>
                </c:pt>
                <c:pt idx="12">
                  <c:v>43.69243489429865</c:v>
                </c:pt>
                <c:pt idx="13">
                  <c:v>43.088457355137649</c:v>
                </c:pt>
                <c:pt idx="14">
                  <c:v>42.484479815976648</c:v>
                </c:pt>
                <c:pt idx="15">
                  <c:v>41.880502276815648</c:v>
                </c:pt>
                <c:pt idx="16">
                  <c:v>41.276524737654647</c:v>
                </c:pt>
                <c:pt idx="17">
                  <c:v>40.672547198493646</c:v>
                </c:pt>
                <c:pt idx="18">
                  <c:v>40.068569659332645</c:v>
                </c:pt>
                <c:pt idx="19">
                  <c:v>39.464592120171645</c:v>
                </c:pt>
                <c:pt idx="20">
                  <c:v>38.860614581010644</c:v>
                </c:pt>
                <c:pt idx="21">
                  <c:v>38.256637041849643</c:v>
                </c:pt>
                <c:pt idx="22">
                  <c:v>37.652659502688643</c:v>
                </c:pt>
                <c:pt idx="23">
                  <c:v>37.048681963527642</c:v>
                </c:pt>
                <c:pt idx="24">
                  <c:v>36.444704424366641</c:v>
                </c:pt>
                <c:pt idx="25">
                  <c:v>35.84072688520564</c:v>
                </c:pt>
                <c:pt idx="26">
                  <c:v>35.23674934604464</c:v>
                </c:pt>
                <c:pt idx="27">
                  <c:v>34.632771806883639</c:v>
                </c:pt>
                <c:pt idx="28">
                  <c:v>34.028794267722638</c:v>
                </c:pt>
                <c:pt idx="29">
                  <c:v>33.424816728561638</c:v>
                </c:pt>
                <c:pt idx="30">
                  <c:v>32.820839189400637</c:v>
                </c:pt>
                <c:pt idx="31">
                  <c:v>32.216861650239636</c:v>
                </c:pt>
                <c:pt idx="32">
                  <c:v>31.612884111078632</c:v>
                </c:pt>
                <c:pt idx="33">
                  <c:v>31.008906571917628</c:v>
                </c:pt>
                <c:pt idx="34">
                  <c:v>30.404929032756623</c:v>
                </c:pt>
                <c:pt idx="35">
                  <c:v>29.800951493595619</c:v>
                </c:pt>
                <c:pt idx="36">
                  <c:v>29.196973954434615</c:v>
                </c:pt>
                <c:pt idx="37">
                  <c:v>28.59299641527361</c:v>
                </c:pt>
                <c:pt idx="38">
                  <c:v>27.989018876112606</c:v>
                </c:pt>
                <c:pt idx="39">
                  <c:v>27.385041336951602</c:v>
                </c:pt>
                <c:pt idx="40">
                  <c:v>26.781063797790598</c:v>
                </c:pt>
                <c:pt idx="41">
                  <c:v>26.177086258629593</c:v>
                </c:pt>
                <c:pt idx="42">
                  <c:v>25.573108719468589</c:v>
                </c:pt>
                <c:pt idx="43">
                  <c:v>24.969131180307585</c:v>
                </c:pt>
                <c:pt idx="44">
                  <c:v>24.365153641146581</c:v>
                </c:pt>
                <c:pt idx="45">
                  <c:v>23.761176101985576</c:v>
                </c:pt>
                <c:pt idx="46">
                  <c:v>23.157198562824572</c:v>
                </c:pt>
                <c:pt idx="47">
                  <c:v>22.553221023663568</c:v>
                </c:pt>
                <c:pt idx="48">
                  <c:v>21.949243484502563</c:v>
                </c:pt>
                <c:pt idx="49">
                  <c:v>21.345265945341559</c:v>
                </c:pt>
                <c:pt idx="50">
                  <c:v>20.741288406180555</c:v>
                </c:pt>
                <c:pt idx="51">
                  <c:v>20.137310867019551</c:v>
                </c:pt>
                <c:pt idx="52">
                  <c:v>19.533333327858546</c:v>
                </c:pt>
                <c:pt idx="53">
                  <c:v>18.929355788697542</c:v>
                </c:pt>
                <c:pt idx="54">
                  <c:v>18.325378249536538</c:v>
                </c:pt>
                <c:pt idx="55">
                  <c:v>17.721400710375534</c:v>
                </c:pt>
                <c:pt idx="56">
                  <c:v>17.117423171214529</c:v>
                </c:pt>
                <c:pt idx="57">
                  <c:v>16.513445632053525</c:v>
                </c:pt>
                <c:pt idx="58">
                  <c:v>15.909468092892521</c:v>
                </c:pt>
                <c:pt idx="59">
                  <c:v>15.305490553731516</c:v>
                </c:pt>
                <c:pt idx="60">
                  <c:v>14.701513014570512</c:v>
                </c:pt>
                <c:pt idx="61">
                  <c:v>14.097535475409508</c:v>
                </c:pt>
                <c:pt idx="62">
                  <c:v>13.493557936248504</c:v>
                </c:pt>
                <c:pt idx="63">
                  <c:v>12.889580397087499</c:v>
                </c:pt>
                <c:pt idx="64">
                  <c:v>12.285602857926495</c:v>
                </c:pt>
                <c:pt idx="65">
                  <c:v>11.681625318765491</c:v>
                </c:pt>
                <c:pt idx="66">
                  <c:v>11.077647779604487</c:v>
                </c:pt>
                <c:pt idx="67">
                  <c:v>10.473670240443482</c:v>
                </c:pt>
                <c:pt idx="68">
                  <c:v>9.869692701282478</c:v>
                </c:pt>
                <c:pt idx="69">
                  <c:v>9.2657151621214737</c:v>
                </c:pt>
                <c:pt idx="70">
                  <c:v>8.6617376229604695</c:v>
                </c:pt>
                <c:pt idx="71">
                  <c:v>8.0577600837994652</c:v>
                </c:pt>
                <c:pt idx="72">
                  <c:v>7.4537825446384618</c:v>
                </c:pt>
                <c:pt idx="73">
                  <c:v>6.8498050054774584</c:v>
                </c:pt>
                <c:pt idx="74">
                  <c:v>6.245827466316455</c:v>
                </c:pt>
                <c:pt idx="75">
                  <c:v>5.6418499271554516</c:v>
                </c:pt>
                <c:pt idx="76">
                  <c:v>5.0378723879944483</c:v>
                </c:pt>
                <c:pt idx="77">
                  <c:v>4.4338948488334449</c:v>
                </c:pt>
                <c:pt idx="78">
                  <c:v>3.829917309672441</c:v>
                </c:pt>
                <c:pt idx="79">
                  <c:v>3.2259397705114372</c:v>
                </c:pt>
                <c:pt idx="80">
                  <c:v>2.6219622313504334</c:v>
                </c:pt>
                <c:pt idx="81">
                  <c:v>2.0179846921894296</c:v>
                </c:pt>
                <c:pt idx="82">
                  <c:v>1.4140071530284257</c:v>
                </c:pt>
                <c:pt idx="83">
                  <c:v>0.810029613867422</c:v>
                </c:pt>
                <c:pt idx="84">
                  <c:v>0.20605207470641829</c:v>
                </c:pt>
                <c:pt idx="85">
                  <c:v>-0.39792546445458543</c:v>
                </c:pt>
                <c:pt idx="86">
                  <c:v>-1.0019030036155891</c:v>
                </c:pt>
                <c:pt idx="87">
                  <c:v>-1.605880542776593</c:v>
                </c:pt>
                <c:pt idx="88">
                  <c:v>-2.2098580819375968</c:v>
                </c:pt>
                <c:pt idx="89">
                  <c:v>-2.8138356210986006</c:v>
                </c:pt>
                <c:pt idx="90">
                  <c:v>-3.4178131602596045</c:v>
                </c:pt>
                <c:pt idx="91">
                  <c:v>-4.0217906994206079</c:v>
                </c:pt>
                <c:pt idx="92">
                  <c:v>-4.6257682385816112</c:v>
                </c:pt>
                <c:pt idx="93">
                  <c:v>-5.2297457777426146</c:v>
                </c:pt>
                <c:pt idx="94">
                  <c:v>-5.833723316903618</c:v>
                </c:pt>
                <c:pt idx="95">
                  <c:v>-6.4377008560646214</c:v>
                </c:pt>
                <c:pt idx="96">
                  <c:v>-7.0416783952256248</c:v>
                </c:pt>
                <c:pt idx="97">
                  <c:v>-7.6456559343866282</c:v>
                </c:pt>
                <c:pt idx="98">
                  <c:v>-8.2496334735476324</c:v>
                </c:pt>
                <c:pt idx="99">
                  <c:v>-8.8536110127086367</c:v>
                </c:pt>
                <c:pt idx="100">
                  <c:v>-9.457588551869641</c:v>
                </c:pt>
                <c:pt idx="101">
                  <c:v>-10.061566091030645</c:v>
                </c:pt>
                <c:pt idx="102">
                  <c:v>-10.66554363019165</c:v>
                </c:pt>
                <c:pt idx="103">
                  <c:v>-11.269521169352654</c:v>
                </c:pt>
                <c:pt idx="104">
                  <c:v>-11.873498708513658</c:v>
                </c:pt>
                <c:pt idx="105">
                  <c:v>-12.477476247674662</c:v>
                </c:pt>
                <c:pt idx="106">
                  <c:v>-13.081453786835667</c:v>
                </c:pt>
                <c:pt idx="107">
                  <c:v>-13.685431325996671</c:v>
                </c:pt>
                <c:pt idx="108">
                  <c:v>-14.289408865157675</c:v>
                </c:pt>
                <c:pt idx="109">
                  <c:v>-14.893386404318679</c:v>
                </c:pt>
                <c:pt idx="110">
                  <c:v>-15.497363943479684</c:v>
                </c:pt>
                <c:pt idx="111">
                  <c:v>-16.101341482640688</c:v>
                </c:pt>
                <c:pt idx="112">
                  <c:v>-16.705319021801692</c:v>
                </c:pt>
                <c:pt idx="113">
                  <c:v>-17.309296560962697</c:v>
                </c:pt>
                <c:pt idx="114">
                  <c:v>-17.913274100123701</c:v>
                </c:pt>
                <c:pt idx="115">
                  <c:v>-18.517251639284705</c:v>
                </c:pt>
                <c:pt idx="116">
                  <c:v>-19.121229178445709</c:v>
                </c:pt>
                <c:pt idx="117">
                  <c:v>-19.725206717606714</c:v>
                </c:pt>
                <c:pt idx="118">
                  <c:v>-20.329184256767718</c:v>
                </c:pt>
                <c:pt idx="119">
                  <c:v>-20.933161795928722</c:v>
                </c:pt>
                <c:pt idx="120">
                  <c:v>-21.537139335089726</c:v>
                </c:pt>
                <c:pt idx="121">
                  <c:v>-22.141116874250731</c:v>
                </c:pt>
                <c:pt idx="122">
                  <c:v>-22.745094413411735</c:v>
                </c:pt>
                <c:pt idx="123">
                  <c:v>-23.349071952572739</c:v>
                </c:pt>
                <c:pt idx="124">
                  <c:v>-23.953049491733744</c:v>
                </c:pt>
                <c:pt idx="125">
                  <c:v>-24.557027030894748</c:v>
                </c:pt>
                <c:pt idx="126">
                  <c:v>-25.161004570055752</c:v>
                </c:pt>
                <c:pt idx="127">
                  <c:v>-25.764982109216756</c:v>
                </c:pt>
                <c:pt idx="128">
                  <c:v>-26.368959648377761</c:v>
                </c:pt>
                <c:pt idx="129">
                  <c:v>-26.972937187538765</c:v>
                </c:pt>
                <c:pt idx="130">
                  <c:v>-27.576914726699769</c:v>
                </c:pt>
                <c:pt idx="131">
                  <c:v>-28.180892265860773</c:v>
                </c:pt>
                <c:pt idx="132">
                  <c:v>-28.784869805021778</c:v>
                </c:pt>
                <c:pt idx="133">
                  <c:v>-29.388847344182782</c:v>
                </c:pt>
                <c:pt idx="134">
                  <c:v>-29.992824883343786</c:v>
                </c:pt>
                <c:pt idx="135">
                  <c:v>-30.596802422504791</c:v>
                </c:pt>
                <c:pt idx="136">
                  <c:v>-31.200779961665795</c:v>
                </c:pt>
                <c:pt idx="137">
                  <c:v>-31.804757500826799</c:v>
                </c:pt>
                <c:pt idx="138">
                  <c:v>-32.408735039987803</c:v>
                </c:pt>
                <c:pt idx="139">
                  <c:v>-33.012712579148804</c:v>
                </c:pt>
                <c:pt idx="140">
                  <c:v>-33.616690118309805</c:v>
                </c:pt>
                <c:pt idx="141">
                  <c:v>-34.220667657470806</c:v>
                </c:pt>
                <c:pt idx="142">
                  <c:v>-34.824645196631806</c:v>
                </c:pt>
                <c:pt idx="143">
                  <c:v>-35.428622735792807</c:v>
                </c:pt>
                <c:pt idx="144">
                  <c:v>-36.032600274953808</c:v>
                </c:pt>
                <c:pt idx="145">
                  <c:v>-36.636577814114808</c:v>
                </c:pt>
                <c:pt idx="146">
                  <c:v>-37.240555353275809</c:v>
                </c:pt>
                <c:pt idx="147">
                  <c:v>-37.84453289243681</c:v>
                </c:pt>
                <c:pt idx="148">
                  <c:v>-38.448510431597811</c:v>
                </c:pt>
                <c:pt idx="149">
                  <c:v>-39.052487970758811</c:v>
                </c:pt>
                <c:pt idx="150">
                  <c:v>-39.656465509919812</c:v>
                </c:pt>
                <c:pt idx="151">
                  <c:v>-40.260443049080813</c:v>
                </c:pt>
                <c:pt idx="152">
                  <c:v>-40.864420588241813</c:v>
                </c:pt>
                <c:pt idx="153">
                  <c:v>-41.468398127402814</c:v>
                </c:pt>
                <c:pt idx="154">
                  <c:v>-42.072375666563815</c:v>
                </c:pt>
                <c:pt idx="155">
                  <c:v>-42.676353205724816</c:v>
                </c:pt>
                <c:pt idx="156">
                  <c:v>-43.280330744885816</c:v>
                </c:pt>
                <c:pt idx="157">
                  <c:v>-43.884308284046817</c:v>
                </c:pt>
                <c:pt idx="158">
                  <c:v>-44.488285823207818</c:v>
                </c:pt>
                <c:pt idx="159">
                  <c:v>-45.092263362368818</c:v>
                </c:pt>
                <c:pt idx="160">
                  <c:v>-45.696240901529819</c:v>
                </c:pt>
                <c:pt idx="161">
                  <c:v>-46.30021844069082</c:v>
                </c:pt>
                <c:pt idx="162">
                  <c:v>-46.904195979851821</c:v>
                </c:pt>
                <c:pt idx="163">
                  <c:v>-47.508173519012821</c:v>
                </c:pt>
                <c:pt idx="164">
                  <c:v>-48.112151058173822</c:v>
                </c:pt>
                <c:pt idx="165">
                  <c:v>-48.716128597334823</c:v>
                </c:pt>
                <c:pt idx="166">
                  <c:v>-49.320106136495824</c:v>
                </c:pt>
                <c:pt idx="167">
                  <c:v>-49.924083675656824</c:v>
                </c:pt>
                <c:pt idx="168">
                  <c:v>-50.528061214817825</c:v>
                </c:pt>
                <c:pt idx="169">
                  <c:v>-51.132038753978826</c:v>
                </c:pt>
                <c:pt idx="170">
                  <c:v>-51.736016293139826</c:v>
                </c:pt>
                <c:pt idx="171">
                  <c:v>-52.339993832300827</c:v>
                </c:pt>
                <c:pt idx="172">
                  <c:v>-52.943971371461828</c:v>
                </c:pt>
                <c:pt idx="173">
                  <c:v>-53.547948910622829</c:v>
                </c:pt>
                <c:pt idx="174">
                  <c:v>-54.151926449783829</c:v>
                </c:pt>
                <c:pt idx="175">
                  <c:v>-54.75590398894483</c:v>
                </c:pt>
                <c:pt idx="176">
                  <c:v>-55.359881528105831</c:v>
                </c:pt>
                <c:pt idx="177">
                  <c:v>-55.963859067266831</c:v>
                </c:pt>
                <c:pt idx="178">
                  <c:v>-56.567836606427832</c:v>
                </c:pt>
                <c:pt idx="179">
                  <c:v>-56.963480055293246</c:v>
                </c:pt>
                <c:pt idx="180">
                  <c:v>-56.963480055293246</c:v>
                </c:pt>
                <c:pt idx="181">
                  <c:v>-56.963480055293246</c:v>
                </c:pt>
                <c:pt idx="182">
                  <c:v>-56.963480055293246</c:v>
                </c:pt>
                <c:pt idx="183">
                  <c:v>-56.963480055293246</c:v>
                </c:pt>
                <c:pt idx="184">
                  <c:v>-56.963480055293246</c:v>
                </c:pt>
                <c:pt idx="185">
                  <c:v>-56.963480055293246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D69A-7B4E-AE60-04955D3E00BA}"/>
            </c:ext>
          </c:extLst>
        </c:ser>
        <c:ser>
          <c:idx val="4"/>
          <c:order val="4"/>
          <c:tx>
            <c:v>pos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dPt>
            <c:idx val="186"/>
            <c:marker>
              <c:symbol val="circle"/>
              <c:size val="9"/>
              <c:spPr>
                <a:noFill/>
                <a:ln w="9525">
                  <a:solidFill>
                    <a:schemeClr val="tx1"/>
                  </a:solidFill>
                </a:ln>
                <a:effectLst/>
              </c:spPr>
            </c:marker>
            <c:bubble3D val="0"/>
            <c:spPr>
              <a:ln w="19050" cap="rnd">
                <a:solidFill>
                  <a:schemeClr val="tx1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5-D69A-7B4E-AE60-04955D3E00BA}"/>
              </c:ext>
            </c:extLst>
          </c:dPt>
          <c:dLbls>
            <c:dLbl>
              <c:idx val="186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1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Helvetica Neue" panose="02000503000000020004" pitchFamily="2" charset="0"/>
                        <a:ea typeface="Helvetica Neue" panose="02000503000000020004" pitchFamily="2" charset="0"/>
                        <a:cs typeface="Helvetica Neue" panose="02000503000000020004" pitchFamily="2" charset="0"/>
                      </a:defRPr>
                    </a:pPr>
                    <a:r>
                      <a:rPr lang="en-US" sz="1100">
                        <a:latin typeface="Helvetica Neue" panose="02000503000000020004" pitchFamily="2" charset="0"/>
                        <a:ea typeface="Helvetica Neue" panose="02000503000000020004" pitchFamily="2" charset="0"/>
                        <a:cs typeface="Helvetica Neue" panose="02000503000000020004" pitchFamily="2" charset="0"/>
                      </a:rPr>
                      <a:t>Position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Helvetica Neue" panose="02000503000000020004" pitchFamily="2" charset="0"/>
                      <a:ea typeface="Helvetica Neue" panose="02000503000000020004" pitchFamily="2" charset="0"/>
                      <a:cs typeface="Helvetica Neue" panose="02000503000000020004" pitchFamily="2" charset="0"/>
                    </a:defRPr>
                  </a:pPr>
                  <a:endParaRPr lang="de-D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5-D69A-7B4E-AE60-04955D3E00B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'Grafic global'!$X$5:$X$191</c:f>
              <c:numCache>
                <c:formatCode>0.00</c:formatCode>
                <c:ptCount val="187"/>
                <c:pt idx="186">
                  <c:v>-11.858954233477355</c:v>
                </c:pt>
              </c:numCache>
            </c:numRef>
          </c:xVal>
          <c:yVal>
            <c:numRef>
              <c:f>'Grafic global'!$M$5:$M$191</c:f>
              <c:numCache>
                <c:formatCode>0.00\°;[Red]0.00\°</c:formatCode>
                <c:ptCount val="187"/>
                <c:pt idx="0">
                  <c:v>50.236037975847395</c:v>
                </c:pt>
                <c:pt idx="1">
                  <c:v>50.236037975847395</c:v>
                </c:pt>
                <c:pt idx="2">
                  <c:v>49.732210285908657</c:v>
                </c:pt>
                <c:pt idx="3">
                  <c:v>49.128232746747656</c:v>
                </c:pt>
                <c:pt idx="4">
                  <c:v>48.524255207586656</c:v>
                </c:pt>
                <c:pt idx="5">
                  <c:v>47.920277668425655</c:v>
                </c:pt>
                <c:pt idx="6">
                  <c:v>47.316300129264654</c:v>
                </c:pt>
                <c:pt idx="7">
                  <c:v>46.712322590103653</c:v>
                </c:pt>
                <c:pt idx="8">
                  <c:v>46.108345050942653</c:v>
                </c:pt>
                <c:pt idx="9">
                  <c:v>45.504367511781652</c:v>
                </c:pt>
                <c:pt idx="10">
                  <c:v>44.900389972620651</c:v>
                </c:pt>
                <c:pt idx="11">
                  <c:v>44.296412433459651</c:v>
                </c:pt>
                <c:pt idx="12">
                  <c:v>43.69243489429865</c:v>
                </c:pt>
                <c:pt idx="13">
                  <c:v>43.088457355137649</c:v>
                </c:pt>
                <c:pt idx="14">
                  <c:v>42.484479815976648</c:v>
                </c:pt>
                <c:pt idx="15">
                  <c:v>41.880502276815648</c:v>
                </c:pt>
                <c:pt idx="16">
                  <c:v>41.276524737654647</c:v>
                </c:pt>
                <c:pt idx="17">
                  <c:v>40.672547198493646</c:v>
                </c:pt>
                <c:pt idx="18">
                  <c:v>40.068569659332645</c:v>
                </c:pt>
                <c:pt idx="19">
                  <c:v>39.464592120171645</c:v>
                </c:pt>
                <c:pt idx="20">
                  <c:v>38.860614581010644</c:v>
                </c:pt>
                <c:pt idx="21">
                  <c:v>38.256637041849643</c:v>
                </c:pt>
                <c:pt idx="22">
                  <c:v>37.652659502688643</c:v>
                </c:pt>
                <c:pt idx="23">
                  <c:v>37.048681963527642</c:v>
                </c:pt>
                <c:pt idx="24">
                  <c:v>36.444704424366641</c:v>
                </c:pt>
                <c:pt idx="25">
                  <c:v>35.84072688520564</c:v>
                </c:pt>
                <c:pt idx="26">
                  <c:v>35.23674934604464</c:v>
                </c:pt>
                <c:pt idx="27">
                  <c:v>34.632771806883639</c:v>
                </c:pt>
                <c:pt idx="28">
                  <c:v>34.028794267722638</c:v>
                </c:pt>
                <c:pt idx="29">
                  <c:v>33.424816728561638</c:v>
                </c:pt>
                <c:pt idx="30">
                  <c:v>32.820839189400637</c:v>
                </c:pt>
                <c:pt idx="31">
                  <c:v>32.216861650239636</c:v>
                </c:pt>
                <c:pt idx="32">
                  <c:v>31.612884111078632</c:v>
                </c:pt>
                <c:pt idx="33">
                  <c:v>31.008906571917628</c:v>
                </c:pt>
                <c:pt idx="34">
                  <c:v>30.404929032756623</c:v>
                </c:pt>
                <c:pt idx="35">
                  <c:v>29.800951493595619</c:v>
                </c:pt>
                <c:pt idx="36">
                  <c:v>29.196973954434615</c:v>
                </c:pt>
                <c:pt idx="37">
                  <c:v>28.59299641527361</c:v>
                </c:pt>
                <c:pt idx="38">
                  <c:v>27.989018876112606</c:v>
                </c:pt>
                <c:pt idx="39">
                  <c:v>27.385041336951602</c:v>
                </c:pt>
                <c:pt idx="40">
                  <c:v>26.781063797790598</c:v>
                </c:pt>
                <c:pt idx="41">
                  <c:v>26.177086258629593</c:v>
                </c:pt>
                <c:pt idx="42">
                  <c:v>25.573108719468589</c:v>
                </c:pt>
                <c:pt idx="43">
                  <c:v>24.969131180307585</c:v>
                </c:pt>
                <c:pt idx="44">
                  <c:v>24.365153641146581</c:v>
                </c:pt>
                <c:pt idx="45">
                  <c:v>23.761176101985576</c:v>
                </c:pt>
                <c:pt idx="46">
                  <c:v>23.157198562824572</c:v>
                </c:pt>
                <c:pt idx="47">
                  <c:v>22.553221023663568</c:v>
                </c:pt>
                <c:pt idx="48">
                  <c:v>21.949243484502563</c:v>
                </c:pt>
                <c:pt idx="49">
                  <c:v>21.345265945341559</c:v>
                </c:pt>
                <c:pt idx="50">
                  <c:v>20.741288406180555</c:v>
                </c:pt>
                <c:pt idx="51">
                  <c:v>20.137310867019551</c:v>
                </c:pt>
                <c:pt idx="52">
                  <c:v>19.533333327858546</c:v>
                </c:pt>
                <c:pt idx="53">
                  <c:v>18.929355788697542</c:v>
                </c:pt>
                <c:pt idx="54">
                  <c:v>18.325378249536538</c:v>
                </c:pt>
                <c:pt idx="55">
                  <c:v>17.721400710375534</c:v>
                </c:pt>
                <c:pt idx="56">
                  <c:v>17.117423171214529</c:v>
                </c:pt>
                <c:pt idx="57">
                  <c:v>16.513445632053525</c:v>
                </c:pt>
                <c:pt idx="58">
                  <c:v>15.909468092892521</c:v>
                </c:pt>
                <c:pt idx="59">
                  <c:v>15.305490553731516</c:v>
                </c:pt>
                <c:pt idx="60">
                  <c:v>14.701513014570512</c:v>
                </c:pt>
                <c:pt idx="61">
                  <c:v>14.097535475409508</c:v>
                </c:pt>
                <c:pt idx="62">
                  <c:v>13.493557936248504</c:v>
                </c:pt>
                <c:pt idx="63">
                  <c:v>12.889580397087499</c:v>
                </c:pt>
                <c:pt idx="64">
                  <c:v>12.285602857926495</c:v>
                </c:pt>
                <c:pt idx="65">
                  <c:v>11.681625318765491</c:v>
                </c:pt>
                <c:pt idx="66">
                  <c:v>11.077647779604487</c:v>
                </c:pt>
                <c:pt idx="67">
                  <c:v>10.473670240443482</c:v>
                </c:pt>
                <c:pt idx="68">
                  <c:v>9.869692701282478</c:v>
                </c:pt>
                <c:pt idx="69">
                  <c:v>9.2657151621214737</c:v>
                </c:pt>
                <c:pt idx="70">
                  <c:v>8.6617376229604695</c:v>
                </c:pt>
                <c:pt idx="71">
                  <c:v>8.0577600837994652</c:v>
                </c:pt>
                <c:pt idx="72">
                  <c:v>7.4537825446384618</c:v>
                </c:pt>
                <c:pt idx="73">
                  <c:v>6.8498050054774584</c:v>
                </c:pt>
                <c:pt idx="74">
                  <c:v>6.245827466316455</c:v>
                </c:pt>
                <c:pt idx="75">
                  <c:v>5.6418499271554516</c:v>
                </c:pt>
                <c:pt idx="76">
                  <c:v>5.0378723879944483</c:v>
                </c:pt>
                <c:pt idx="77">
                  <c:v>4.4338948488334449</c:v>
                </c:pt>
                <c:pt idx="78">
                  <c:v>3.829917309672441</c:v>
                </c:pt>
                <c:pt idx="79">
                  <c:v>3.2259397705114372</c:v>
                </c:pt>
                <c:pt idx="80">
                  <c:v>2.6219622313504334</c:v>
                </c:pt>
                <c:pt idx="81">
                  <c:v>2.0179846921894296</c:v>
                </c:pt>
                <c:pt idx="82">
                  <c:v>1.4140071530284257</c:v>
                </c:pt>
                <c:pt idx="83">
                  <c:v>0.810029613867422</c:v>
                </c:pt>
                <c:pt idx="84">
                  <c:v>0.20605207470641829</c:v>
                </c:pt>
                <c:pt idx="85">
                  <c:v>-0.39792546445458543</c:v>
                </c:pt>
                <c:pt idx="86">
                  <c:v>-1.0019030036155891</c:v>
                </c:pt>
                <c:pt idx="87">
                  <c:v>-1.605880542776593</c:v>
                </c:pt>
                <c:pt idx="88">
                  <c:v>-2.2098580819375968</c:v>
                </c:pt>
                <c:pt idx="89">
                  <c:v>-2.8138356210986006</c:v>
                </c:pt>
                <c:pt idx="90">
                  <c:v>-3.4178131602596045</c:v>
                </c:pt>
                <c:pt idx="91">
                  <c:v>-4.0217906994206079</c:v>
                </c:pt>
                <c:pt idx="92">
                  <c:v>-4.6257682385816112</c:v>
                </c:pt>
                <c:pt idx="93">
                  <c:v>-5.2297457777426146</c:v>
                </c:pt>
                <c:pt idx="94">
                  <c:v>-5.833723316903618</c:v>
                </c:pt>
                <c:pt idx="95">
                  <c:v>-6.4377008560646214</c:v>
                </c:pt>
                <c:pt idx="96">
                  <c:v>-7.0416783952256248</c:v>
                </c:pt>
                <c:pt idx="97">
                  <c:v>-7.6456559343866282</c:v>
                </c:pt>
                <c:pt idx="98">
                  <c:v>-8.2496334735476324</c:v>
                </c:pt>
                <c:pt idx="99">
                  <c:v>-8.8536110127086367</c:v>
                </c:pt>
                <c:pt idx="100">
                  <c:v>-9.457588551869641</c:v>
                </c:pt>
                <c:pt idx="101">
                  <c:v>-10.061566091030645</c:v>
                </c:pt>
                <c:pt idx="102">
                  <c:v>-10.66554363019165</c:v>
                </c:pt>
                <c:pt idx="103">
                  <c:v>-11.269521169352654</c:v>
                </c:pt>
                <c:pt idx="104">
                  <c:v>-11.873498708513658</c:v>
                </c:pt>
                <c:pt idx="105">
                  <c:v>-12.477476247674662</c:v>
                </c:pt>
                <c:pt idx="106">
                  <c:v>-13.081453786835667</c:v>
                </c:pt>
                <c:pt idx="107">
                  <c:v>-13.685431325996671</c:v>
                </c:pt>
                <c:pt idx="108">
                  <c:v>-14.289408865157675</c:v>
                </c:pt>
                <c:pt idx="109">
                  <c:v>-14.893386404318679</c:v>
                </c:pt>
                <c:pt idx="110">
                  <c:v>-15.497363943479684</c:v>
                </c:pt>
                <c:pt idx="111">
                  <c:v>-16.101341482640688</c:v>
                </c:pt>
                <c:pt idx="112">
                  <c:v>-16.705319021801692</c:v>
                </c:pt>
                <c:pt idx="113">
                  <c:v>-17.309296560962697</c:v>
                </c:pt>
                <c:pt idx="114">
                  <c:v>-17.913274100123701</c:v>
                </c:pt>
                <c:pt idx="115">
                  <c:v>-18.517251639284705</c:v>
                </c:pt>
                <c:pt idx="116">
                  <c:v>-19.121229178445709</c:v>
                </c:pt>
                <c:pt idx="117">
                  <c:v>-19.725206717606714</c:v>
                </c:pt>
                <c:pt idx="118">
                  <c:v>-20.329184256767718</c:v>
                </c:pt>
                <c:pt idx="119">
                  <c:v>-20.933161795928722</c:v>
                </c:pt>
                <c:pt idx="120">
                  <c:v>-21.537139335089726</c:v>
                </c:pt>
                <c:pt idx="121">
                  <c:v>-22.141116874250731</c:v>
                </c:pt>
                <c:pt idx="122">
                  <c:v>-22.745094413411735</c:v>
                </c:pt>
                <c:pt idx="123">
                  <c:v>-23.349071952572739</c:v>
                </c:pt>
                <c:pt idx="124">
                  <c:v>-23.953049491733744</c:v>
                </c:pt>
                <c:pt idx="125">
                  <c:v>-24.557027030894748</c:v>
                </c:pt>
                <c:pt idx="126">
                  <c:v>-25.161004570055752</c:v>
                </c:pt>
                <c:pt idx="127">
                  <c:v>-25.764982109216756</c:v>
                </c:pt>
                <c:pt idx="128">
                  <c:v>-26.368959648377761</c:v>
                </c:pt>
                <c:pt idx="129">
                  <c:v>-26.972937187538765</c:v>
                </c:pt>
                <c:pt idx="130">
                  <c:v>-27.576914726699769</c:v>
                </c:pt>
                <c:pt idx="131">
                  <c:v>-28.180892265860773</c:v>
                </c:pt>
                <c:pt idx="132">
                  <c:v>-28.784869805021778</c:v>
                </c:pt>
                <c:pt idx="133">
                  <c:v>-29.388847344182782</c:v>
                </c:pt>
                <c:pt idx="134">
                  <c:v>-29.992824883343786</c:v>
                </c:pt>
                <c:pt idx="135">
                  <c:v>-30.596802422504791</c:v>
                </c:pt>
                <c:pt idx="136">
                  <c:v>-31.200779961665795</c:v>
                </c:pt>
                <c:pt idx="137">
                  <c:v>-31.804757500826799</c:v>
                </c:pt>
                <c:pt idx="138">
                  <c:v>-32.408735039987803</c:v>
                </c:pt>
                <c:pt idx="139">
                  <c:v>-33.012712579148804</c:v>
                </c:pt>
                <c:pt idx="140">
                  <c:v>-33.616690118309805</c:v>
                </c:pt>
                <c:pt idx="141">
                  <c:v>-34.220667657470806</c:v>
                </c:pt>
                <c:pt idx="142">
                  <c:v>-34.824645196631806</c:v>
                </c:pt>
                <c:pt idx="143">
                  <c:v>-35.428622735792807</c:v>
                </c:pt>
                <c:pt idx="144">
                  <c:v>-36.032600274953808</c:v>
                </c:pt>
                <c:pt idx="145">
                  <c:v>-36.636577814114808</c:v>
                </c:pt>
                <c:pt idx="146">
                  <c:v>-37.240555353275809</c:v>
                </c:pt>
                <c:pt idx="147">
                  <c:v>-37.84453289243681</c:v>
                </c:pt>
                <c:pt idx="148">
                  <c:v>-38.448510431597811</c:v>
                </c:pt>
                <c:pt idx="149">
                  <c:v>-39.052487970758811</c:v>
                </c:pt>
                <c:pt idx="150">
                  <c:v>-39.656465509919812</c:v>
                </c:pt>
                <c:pt idx="151">
                  <c:v>-40.260443049080813</c:v>
                </c:pt>
                <c:pt idx="152">
                  <c:v>-40.864420588241813</c:v>
                </c:pt>
                <c:pt idx="153">
                  <c:v>-41.468398127402814</c:v>
                </c:pt>
                <c:pt idx="154">
                  <c:v>-42.072375666563815</c:v>
                </c:pt>
                <c:pt idx="155">
                  <c:v>-42.676353205724816</c:v>
                </c:pt>
                <c:pt idx="156">
                  <c:v>-43.280330744885816</c:v>
                </c:pt>
                <c:pt idx="157">
                  <c:v>-43.884308284046817</c:v>
                </c:pt>
                <c:pt idx="158">
                  <c:v>-44.488285823207818</c:v>
                </c:pt>
                <c:pt idx="159">
                  <c:v>-45.092263362368818</c:v>
                </c:pt>
                <c:pt idx="160">
                  <c:v>-45.696240901529819</c:v>
                </c:pt>
                <c:pt idx="161">
                  <c:v>-46.30021844069082</c:v>
                </c:pt>
                <c:pt idx="162">
                  <c:v>-46.904195979851821</c:v>
                </c:pt>
                <c:pt idx="163">
                  <c:v>-47.508173519012821</c:v>
                </c:pt>
                <c:pt idx="164">
                  <c:v>-48.112151058173822</c:v>
                </c:pt>
                <c:pt idx="165">
                  <c:v>-48.716128597334823</c:v>
                </c:pt>
                <c:pt idx="166">
                  <c:v>-49.320106136495824</c:v>
                </c:pt>
                <c:pt idx="167">
                  <c:v>-49.924083675656824</c:v>
                </c:pt>
                <c:pt idx="168">
                  <c:v>-50.528061214817825</c:v>
                </c:pt>
                <c:pt idx="169">
                  <c:v>-51.132038753978826</c:v>
                </c:pt>
                <c:pt idx="170">
                  <c:v>-51.736016293139826</c:v>
                </c:pt>
                <c:pt idx="171">
                  <c:v>-52.339993832300827</c:v>
                </c:pt>
                <c:pt idx="172">
                  <c:v>-52.943971371461828</c:v>
                </c:pt>
                <c:pt idx="173">
                  <c:v>-53.547948910622829</c:v>
                </c:pt>
                <c:pt idx="174">
                  <c:v>-54.151926449783829</c:v>
                </c:pt>
                <c:pt idx="175">
                  <c:v>-54.75590398894483</c:v>
                </c:pt>
                <c:pt idx="176">
                  <c:v>-55.359881528105831</c:v>
                </c:pt>
                <c:pt idx="177">
                  <c:v>-55.963859067266831</c:v>
                </c:pt>
                <c:pt idx="178">
                  <c:v>-56.567836606427832</c:v>
                </c:pt>
                <c:pt idx="179">
                  <c:v>-56.963480055293246</c:v>
                </c:pt>
                <c:pt idx="180">
                  <c:v>-56.963480055293246</c:v>
                </c:pt>
                <c:pt idx="181">
                  <c:v>-56.963480055293246</c:v>
                </c:pt>
                <c:pt idx="182">
                  <c:v>-56.963480055293246</c:v>
                </c:pt>
                <c:pt idx="183">
                  <c:v>-56.963480055293246</c:v>
                </c:pt>
                <c:pt idx="184">
                  <c:v>-56.963480055293246</c:v>
                </c:pt>
                <c:pt idx="185">
                  <c:v>-56.963480055293246</c:v>
                </c:pt>
                <c:pt idx="186">
                  <c:v>33.595343477090736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D69A-7B4E-AE60-04955D3E00BA}"/>
            </c:ext>
          </c:extLst>
        </c:ser>
        <c:ser>
          <c:idx val="5"/>
          <c:order val="5"/>
          <c:tx>
            <c:v>sun</c:v>
          </c:tx>
          <c:spPr>
            <a:ln w="19050" cap="rnd">
              <a:noFill/>
              <a:round/>
            </a:ln>
            <a:effectLst/>
          </c:spPr>
          <c:marker>
            <c:symbol val="none"/>
          </c:marker>
          <c:dPt>
            <c:idx val="187"/>
            <c:marker>
              <c:symbol val="circle"/>
              <c:size val="10"/>
              <c:spPr>
                <a:solidFill>
                  <a:srgbClr val="FFF803"/>
                </a:solidFill>
                <a:ln w="0">
                  <a:solidFill>
                    <a:srgbClr val="00B05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7-D69A-7B4E-AE60-04955D3E00BA}"/>
              </c:ext>
            </c:extLst>
          </c:dPt>
          <c:dPt>
            <c:idx val="188"/>
            <c:marker>
              <c:symbol val="circle"/>
              <c:size val="10"/>
              <c:spPr>
                <a:solidFill>
                  <a:srgbClr val="FFFF00"/>
                </a:solidFill>
                <a:ln w="0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8-D69A-7B4E-AE60-04955D3E00BA}"/>
              </c:ext>
            </c:extLst>
          </c:dPt>
          <c:xVal>
            <c:numRef>
              <c:f>'Grafic global'!$Y$5:$Y$193</c:f>
              <c:numCache>
                <c:formatCode>0.00</c:formatCode>
                <c:ptCount val="189"/>
                <c:pt idx="187" formatCode="0.00_ ;[Red]\-0.00\ ">
                  <c:v>29.100701633192671</c:v>
                </c:pt>
                <c:pt idx="188" formatCode="0.00_ ;[Red]\-0.00\ ">
                  <c:v>-23.686070501695195</c:v>
                </c:pt>
              </c:numCache>
            </c:numRef>
          </c:xVal>
          <c:yVal>
            <c:numRef>
              <c:f>'Grafic global'!$M$5:$M$193</c:f>
              <c:numCache>
                <c:formatCode>0.00\°;[Red]0.00\°</c:formatCode>
                <c:ptCount val="189"/>
                <c:pt idx="0">
                  <c:v>50.236037975847395</c:v>
                </c:pt>
                <c:pt idx="1">
                  <c:v>50.236037975847395</c:v>
                </c:pt>
                <c:pt idx="2">
                  <c:v>49.732210285908657</c:v>
                </c:pt>
                <c:pt idx="3">
                  <c:v>49.128232746747656</c:v>
                </c:pt>
                <c:pt idx="4">
                  <c:v>48.524255207586656</c:v>
                </c:pt>
                <c:pt idx="5">
                  <c:v>47.920277668425655</c:v>
                </c:pt>
                <c:pt idx="6">
                  <c:v>47.316300129264654</c:v>
                </c:pt>
                <c:pt idx="7">
                  <c:v>46.712322590103653</c:v>
                </c:pt>
                <c:pt idx="8">
                  <c:v>46.108345050942653</c:v>
                </c:pt>
                <c:pt idx="9">
                  <c:v>45.504367511781652</c:v>
                </c:pt>
                <c:pt idx="10">
                  <c:v>44.900389972620651</c:v>
                </c:pt>
                <c:pt idx="11">
                  <c:v>44.296412433459651</c:v>
                </c:pt>
                <c:pt idx="12">
                  <c:v>43.69243489429865</c:v>
                </c:pt>
                <c:pt idx="13">
                  <c:v>43.088457355137649</c:v>
                </c:pt>
                <c:pt idx="14">
                  <c:v>42.484479815976648</c:v>
                </c:pt>
                <c:pt idx="15">
                  <c:v>41.880502276815648</c:v>
                </c:pt>
                <c:pt idx="16">
                  <c:v>41.276524737654647</c:v>
                </c:pt>
                <c:pt idx="17">
                  <c:v>40.672547198493646</c:v>
                </c:pt>
                <c:pt idx="18">
                  <c:v>40.068569659332645</c:v>
                </c:pt>
                <c:pt idx="19">
                  <c:v>39.464592120171645</c:v>
                </c:pt>
                <c:pt idx="20">
                  <c:v>38.860614581010644</c:v>
                </c:pt>
                <c:pt idx="21">
                  <c:v>38.256637041849643</c:v>
                </c:pt>
                <c:pt idx="22">
                  <c:v>37.652659502688643</c:v>
                </c:pt>
                <c:pt idx="23">
                  <c:v>37.048681963527642</c:v>
                </c:pt>
                <c:pt idx="24">
                  <c:v>36.444704424366641</c:v>
                </c:pt>
                <c:pt idx="25">
                  <c:v>35.84072688520564</c:v>
                </c:pt>
                <c:pt idx="26">
                  <c:v>35.23674934604464</c:v>
                </c:pt>
                <c:pt idx="27">
                  <c:v>34.632771806883639</c:v>
                </c:pt>
                <c:pt idx="28">
                  <c:v>34.028794267722638</c:v>
                </c:pt>
                <c:pt idx="29">
                  <c:v>33.424816728561638</c:v>
                </c:pt>
                <c:pt idx="30">
                  <c:v>32.820839189400637</c:v>
                </c:pt>
                <c:pt idx="31">
                  <c:v>32.216861650239636</c:v>
                </c:pt>
                <c:pt idx="32">
                  <c:v>31.612884111078632</c:v>
                </c:pt>
                <c:pt idx="33">
                  <c:v>31.008906571917628</c:v>
                </c:pt>
                <c:pt idx="34">
                  <c:v>30.404929032756623</c:v>
                </c:pt>
                <c:pt idx="35">
                  <c:v>29.800951493595619</c:v>
                </c:pt>
                <c:pt idx="36">
                  <c:v>29.196973954434615</c:v>
                </c:pt>
                <c:pt idx="37">
                  <c:v>28.59299641527361</c:v>
                </c:pt>
                <c:pt idx="38">
                  <c:v>27.989018876112606</c:v>
                </c:pt>
                <c:pt idx="39">
                  <c:v>27.385041336951602</c:v>
                </c:pt>
                <c:pt idx="40">
                  <c:v>26.781063797790598</c:v>
                </c:pt>
                <c:pt idx="41">
                  <c:v>26.177086258629593</c:v>
                </c:pt>
                <c:pt idx="42">
                  <c:v>25.573108719468589</c:v>
                </c:pt>
                <c:pt idx="43">
                  <c:v>24.969131180307585</c:v>
                </c:pt>
                <c:pt idx="44">
                  <c:v>24.365153641146581</c:v>
                </c:pt>
                <c:pt idx="45">
                  <c:v>23.761176101985576</c:v>
                </c:pt>
                <c:pt idx="46">
                  <c:v>23.157198562824572</c:v>
                </c:pt>
                <c:pt idx="47">
                  <c:v>22.553221023663568</c:v>
                </c:pt>
                <c:pt idx="48">
                  <c:v>21.949243484502563</c:v>
                </c:pt>
                <c:pt idx="49">
                  <c:v>21.345265945341559</c:v>
                </c:pt>
                <c:pt idx="50">
                  <c:v>20.741288406180555</c:v>
                </c:pt>
                <c:pt idx="51">
                  <c:v>20.137310867019551</c:v>
                </c:pt>
                <c:pt idx="52">
                  <c:v>19.533333327858546</c:v>
                </c:pt>
                <c:pt idx="53">
                  <c:v>18.929355788697542</c:v>
                </c:pt>
                <c:pt idx="54">
                  <c:v>18.325378249536538</c:v>
                </c:pt>
                <c:pt idx="55">
                  <c:v>17.721400710375534</c:v>
                </c:pt>
                <c:pt idx="56">
                  <c:v>17.117423171214529</c:v>
                </c:pt>
                <c:pt idx="57">
                  <c:v>16.513445632053525</c:v>
                </c:pt>
                <c:pt idx="58">
                  <c:v>15.909468092892521</c:v>
                </c:pt>
                <c:pt idx="59">
                  <c:v>15.305490553731516</c:v>
                </c:pt>
                <c:pt idx="60">
                  <c:v>14.701513014570512</c:v>
                </c:pt>
                <c:pt idx="61">
                  <c:v>14.097535475409508</c:v>
                </c:pt>
                <c:pt idx="62">
                  <c:v>13.493557936248504</c:v>
                </c:pt>
                <c:pt idx="63">
                  <c:v>12.889580397087499</c:v>
                </c:pt>
                <c:pt idx="64">
                  <c:v>12.285602857926495</c:v>
                </c:pt>
                <c:pt idx="65">
                  <c:v>11.681625318765491</c:v>
                </c:pt>
                <c:pt idx="66">
                  <c:v>11.077647779604487</c:v>
                </c:pt>
                <c:pt idx="67">
                  <c:v>10.473670240443482</c:v>
                </c:pt>
                <c:pt idx="68">
                  <c:v>9.869692701282478</c:v>
                </c:pt>
                <c:pt idx="69">
                  <c:v>9.2657151621214737</c:v>
                </c:pt>
                <c:pt idx="70">
                  <c:v>8.6617376229604695</c:v>
                </c:pt>
                <c:pt idx="71">
                  <c:v>8.0577600837994652</c:v>
                </c:pt>
                <c:pt idx="72">
                  <c:v>7.4537825446384618</c:v>
                </c:pt>
                <c:pt idx="73">
                  <c:v>6.8498050054774584</c:v>
                </c:pt>
                <c:pt idx="74">
                  <c:v>6.245827466316455</c:v>
                </c:pt>
                <c:pt idx="75">
                  <c:v>5.6418499271554516</c:v>
                </c:pt>
                <c:pt idx="76">
                  <c:v>5.0378723879944483</c:v>
                </c:pt>
                <c:pt idx="77">
                  <c:v>4.4338948488334449</c:v>
                </c:pt>
                <c:pt idx="78">
                  <c:v>3.829917309672441</c:v>
                </c:pt>
                <c:pt idx="79">
                  <c:v>3.2259397705114372</c:v>
                </c:pt>
                <c:pt idx="80">
                  <c:v>2.6219622313504334</c:v>
                </c:pt>
                <c:pt idx="81">
                  <c:v>2.0179846921894296</c:v>
                </c:pt>
                <c:pt idx="82">
                  <c:v>1.4140071530284257</c:v>
                </c:pt>
                <c:pt idx="83">
                  <c:v>0.810029613867422</c:v>
                </c:pt>
                <c:pt idx="84">
                  <c:v>0.20605207470641829</c:v>
                </c:pt>
                <c:pt idx="85">
                  <c:v>-0.39792546445458543</c:v>
                </c:pt>
                <c:pt idx="86">
                  <c:v>-1.0019030036155891</c:v>
                </c:pt>
                <c:pt idx="87">
                  <c:v>-1.605880542776593</c:v>
                </c:pt>
                <c:pt idx="88">
                  <c:v>-2.2098580819375968</c:v>
                </c:pt>
                <c:pt idx="89">
                  <c:v>-2.8138356210986006</c:v>
                </c:pt>
                <c:pt idx="90">
                  <c:v>-3.4178131602596045</c:v>
                </c:pt>
                <c:pt idx="91">
                  <c:v>-4.0217906994206079</c:v>
                </c:pt>
                <c:pt idx="92">
                  <c:v>-4.6257682385816112</c:v>
                </c:pt>
                <c:pt idx="93">
                  <c:v>-5.2297457777426146</c:v>
                </c:pt>
                <c:pt idx="94">
                  <c:v>-5.833723316903618</c:v>
                </c:pt>
                <c:pt idx="95">
                  <c:v>-6.4377008560646214</c:v>
                </c:pt>
                <c:pt idx="96">
                  <c:v>-7.0416783952256248</c:v>
                </c:pt>
                <c:pt idx="97">
                  <c:v>-7.6456559343866282</c:v>
                </c:pt>
                <c:pt idx="98">
                  <c:v>-8.2496334735476324</c:v>
                </c:pt>
                <c:pt idx="99">
                  <c:v>-8.8536110127086367</c:v>
                </c:pt>
                <c:pt idx="100">
                  <c:v>-9.457588551869641</c:v>
                </c:pt>
                <c:pt idx="101">
                  <c:v>-10.061566091030645</c:v>
                </c:pt>
                <c:pt idx="102">
                  <c:v>-10.66554363019165</c:v>
                </c:pt>
                <c:pt idx="103">
                  <c:v>-11.269521169352654</c:v>
                </c:pt>
                <c:pt idx="104">
                  <c:v>-11.873498708513658</c:v>
                </c:pt>
                <c:pt idx="105">
                  <c:v>-12.477476247674662</c:v>
                </c:pt>
                <c:pt idx="106">
                  <c:v>-13.081453786835667</c:v>
                </c:pt>
                <c:pt idx="107">
                  <c:v>-13.685431325996671</c:v>
                </c:pt>
                <c:pt idx="108">
                  <c:v>-14.289408865157675</c:v>
                </c:pt>
                <c:pt idx="109">
                  <c:v>-14.893386404318679</c:v>
                </c:pt>
                <c:pt idx="110">
                  <c:v>-15.497363943479684</c:v>
                </c:pt>
                <c:pt idx="111">
                  <c:v>-16.101341482640688</c:v>
                </c:pt>
                <c:pt idx="112">
                  <c:v>-16.705319021801692</c:v>
                </c:pt>
                <c:pt idx="113">
                  <c:v>-17.309296560962697</c:v>
                </c:pt>
                <c:pt idx="114">
                  <c:v>-17.913274100123701</c:v>
                </c:pt>
                <c:pt idx="115">
                  <c:v>-18.517251639284705</c:v>
                </c:pt>
                <c:pt idx="116">
                  <c:v>-19.121229178445709</c:v>
                </c:pt>
                <c:pt idx="117">
                  <c:v>-19.725206717606714</c:v>
                </c:pt>
                <c:pt idx="118">
                  <c:v>-20.329184256767718</c:v>
                </c:pt>
                <c:pt idx="119">
                  <c:v>-20.933161795928722</c:v>
                </c:pt>
                <c:pt idx="120">
                  <c:v>-21.537139335089726</c:v>
                </c:pt>
                <c:pt idx="121">
                  <c:v>-22.141116874250731</c:v>
                </c:pt>
                <c:pt idx="122">
                  <c:v>-22.745094413411735</c:v>
                </c:pt>
                <c:pt idx="123">
                  <c:v>-23.349071952572739</c:v>
                </c:pt>
                <c:pt idx="124">
                  <c:v>-23.953049491733744</c:v>
                </c:pt>
                <c:pt idx="125">
                  <c:v>-24.557027030894748</c:v>
                </c:pt>
                <c:pt idx="126">
                  <c:v>-25.161004570055752</c:v>
                </c:pt>
                <c:pt idx="127">
                  <c:v>-25.764982109216756</c:v>
                </c:pt>
                <c:pt idx="128">
                  <c:v>-26.368959648377761</c:v>
                </c:pt>
                <c:pt idx="129">
                  <c:v>-26.972937187538765</c:v>
                </c:pt>
                <c:pt idx="130">
                  <c:v>-27.576914726699769</c:v>
                </c:pt>
                <c:pt idx="131">
                  <c:v>-28.180892265860773</c:v>
                </c:pt>
                <c:pt idx="132">
                  <c:v>-28.784869805021778</c:v>
                </c:pt>
                <c:pt idx="133">
                  <c:v>-29.388847344182782</c:v>
                </c:pt>
                <c:pt idx="134">
                  <c:v>-29.992824883343786</c:v>
                </c:pt>
                <c:pt idx="135">
                  <c:v>-30.596802422504791</c:v>
                </c:pt>
                <c:pt idx="136">
                  <c:v>-31.200779961665795</c:v>
                </c:pt>
                <c:pt idx="137">
                  <c:v>-31.804757500826799</c:v>
                </c:pt>
                <c:pt idx="138">
                  <c:v>-32.408735039987803</c:v>
                </c:pt>
                <c:pt idx="139">
                  <c:v>-33.012712579148804</c:v>
                </c:pt>
                <c:pt idx="140">
                  <c:v>-33.616690118309805</c:v>
                </c:pt>
                <c:pt idx="141">
                  <c:v>-34.220667657470806</c:v>
                </c:pt>
                <c:pt idx="142">
                  <c:v>-34.824645196631806</c:v>
                </c:pt>
                <c:pt idx="143">
                  <c:v>-35.428622735792807</c:v>
                </c:pt>
                <c:pt idx="144">
                  <c:v>-36.032600274953808</c:v>
                </c:pt>
                <c:pt idx="145">
                  <c:v>-36.636577814114808</c:v>
                </c:pt>
                <c:pt idx="146">
                  <c:v>-37.240555353275809</c:v>
                </c:pt>
                <c:pt idx="147">
                  <c:v>-37.84453289243681</c:v>
                </c:pt>
                <c:pt idx="148">
                  <c:v>-38.448510431597811</c:v>
                </c:pt>
                <c:pt idx="149">
                  <c:v>-39.052487970758811</c:v>
                </c:pt>
                <c:pt idx="150">
                  <c:v>-39.656465509919812</c:v>
                </c:pt>
                <c:pt idx="151">
                  <c:v>-40.260443049080813</c:v>
                </c:pt>
                <c:pt idx="152">
                  <c:v>-40.864420588241813</c:v>
                </c:pt>
                <c:pt idx="153">
                  <c:v>-41.468398127402814</c:v>
                </c:pt>
                <c:pt idx="154">
                  <c:v>-42.072375666563815</c:v>
                </c:pt>
                <c:pt idx="155">
                  <c:v>-42.676353205724816</c:v>
                </c:pt>
                <c:pt idx="156">
                  <c:v>-43.280330744885816</c:v>
                </c:pt>
                <c:pt idx="157">
                  <c:v>-43.884308284046817</c:v>
                </c:pt>
                <c:pt idx="158">
                  <c:v>-44.488285823207818</c:v>
                </c:pt>
                <c:pt idx="159">
                  <c:v>-45.092263362368818</c:v>
                </c:pt>
                <c:pt idx="160">
                  <c:v>-45.696240901529819</c:v>
                </c:pt>
                <c:pt idx="161">
                  <c:v>-46.30021844069082</c:v>
                </c:pt>
                <c:pt idx="162">
                  <c:v>-46.904195979851821</c:v>
                </c:pt>
                <c:pt idx="163">
                  <c:v>-47.508173519012821</c:v>
                </c:pt>
                <c:pt idx="164">
                  <c:v>-48.112151058173822</c:v>
                </c:pt>
                <c:pt idx="165">
                  <c:v>-48.716128597334823</c:v>
                </c:pt>
                <c:pt idx="166">
                  <c:v>-49.320106136495824</c:v>
                </c:pt>
                <c:pt idx="167">
                  <c:v>-49.924083675656824</c:v>
                </c:pt>
                <c:pt idx="168">
                  <c:v>-50.528061214817825</c:v>
                </c:pt>
                <c:pt idx="169">
                  <c:v>-51.132038753978826</c:v>
                </c:pt>
                <c:pt idx="170">
                  <c:v>-51.736016293139826</c:v>
                </c:pt>
                <c:pt idx="171">
                  <c:v>-52.339993832300827</c:v>
                </c:pt>
                <c:pt idx="172">
                  <c:v>-52.943971371461828</c:v>
                </c:pt>
                <c:pt idx="173">
                  <c:v>-53.547948910622829</c:v>
                </c:pt>
                <c:pt idx="174">
                  <c:v>-54.151926449783829</c:v>
                </c:pt>
                <c:pt idx="175">
                  <c:v>-54.75590398894483</c:v>
                </c:pt>
                <c:pt idx="176">
                  <c:v>-55.359881528105831</c:v>
                </c:pt>
                <c:pt idx="177">
                  <c:v>-55.963859067266831</c:v>
                </c:pt>
                <c:pt idx="178">
                  <c:v>-56.567836606427832</c:v>
                </c:pt>
                <c:pt idx="179">
                  <c:v>-56.963480055293246</c:v>
                </c:pt>
                <c:pt idx="180">
                  <c:v>-56.963480055293246</c:v>
                </c:pt>
                <c:pt idx="181">
                  <c:v>-56.963480055293246</c:v>
                </c:pt>
                <c:pt idx="182">
                  <c:v>-56.963480055293246</c:v>
                </c:pt>
                <c:pt idx="183">
                  <c:v>-56.963480055293246</c:v>
                </c:pt>
                <c:pt idx="184">
                  <c:v>-56.963480055293246</c:v>
                </c:pt>
                <c:pt idx="185">
                  <c:v>-56.963480055293246</c:v>
                </c:pt>
                <c:pt idx="186">
                  <c:v>33.595343477090736</c:v>
                </c:pt>
                <c:pt idx="187" formatCode="0.00_ ;[Red]\-0.00\ ">
                  <c:v>-3.3637210397229271</c:v>
                </c:pt>
                <c:pt idx="188" formatCode="0.00_ ;[Red]\-0.00\ ">
                  <c:v>-3.4205131602596803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D69A-7B4E-AE60-04955D3E00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219597184"/>
        <c:axId val="-1219542448"/>
      </c:scatterChart>
      <c:valAx>
        <c:axId val="-1219597184"/>
        <c:scaling>
          <c:orientation val="minMax"/>
          <c:max val="180"/>
          <c:min val="-1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bg2"/>
              </a:solidFill>
              <a:round/>
            </a:ln>
            <a:effectLst/>
          </c:spPr>
        </c:minorGridlines>
        <c:numFmt formatCode="0\°_ ;[Red]\-0\°\ 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-1219542448"/>
        <c:crosses val="autoZero"/>
        <c:crossBetween val="midCat"/>
        <c:majorUnit val="90"/>
        <c:minorUnit val="10"/>
      </c:valAx>
      <c:valAx>
        <c:axId val="-1219542448"/>
        <c:scaling>
          <c:orientation val="minMax"/>
          <c:max val="90"/>
          <c:min val="-90"/>
        </c:scaling>
        <c:delete val="0"/>
        <c:axPos val="l"/>
        <c:majorGridlines>
          <c:spPr>
            <a:ln w="9525" cap="flat" cmpd="sng" algn="ctr">
              <a:solidFill>
                <a:schemeClr val="bg2"/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\°_ ;[Red]\-0\°\ 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-1219597184"/>
        <c:crosses val="autoZero"/>
        <c:crossBetween val="midCat"/>
        <c:majorUnit val="30"/>
        <c:minorUnit val="10"/>
      </c:valAx>
      <c:spPr>
        <a:noFill/>
        <a:ln>
          <a:solidFill>
            <a:schemeClr val="bg2">
              <a:lumMod val="90000"/>
            </a:schemeClr>
          </a:solidFill>
        </a:ln>
        <a:effectLst/>
      </c:spPr>
    </c:plotArea>
    <c:plotVisOnly val="0"/>
    <c:dispBlanksAs val="span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19050" cap="flat" cmpd="sng" algn="ctr">
      <a:solidFill>
        <a:schemeClr val="bg2">
          <a:lumMod val="90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4"/>
          <c:order val="0"/>
          <c:tx>
            <c:strRef>
              <c:f>'Grafic local'!$O$13</c:f>
              <c:strCache>
                <c:ptCount val="1"/>
              </c:strCache>
            </c:strRef>
          </c:tx>
          <c:spPr>
            <a:ln w="19050" cap="rnd">
              <a:solidFill>
                <a:srgbClr val="00B050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'Grafic local'!$O$14:$O$56</c:f>
              <c:numCache>
                <c:formatCode>0.00</c:formatCode>
                <c:ptCount val="43"/>
                <c:pt idx="0">
                  <c:v>-11.719548650207969</c:v>
                </c:pt>
                <c:pt idx="1">
                  <c:v>-11.730438635507994</c:v>
                </c:pt>
                <c:pt idx="2">
                  <c:v>-11.741320031599685</c:v>
                </c:pt>
                <c:pt idx="3">
                  <c:v>-11.752192848305185</c:v>
                </c:pt>
                <c:pt idx="4">
                  <c:v>-11.76305709542811</c:v>
                </c:pt>
                <c:pt idx="5">
                  <c:v>-11.773912782753655</c:v>
                </c:pt>
                <c:pt idx="6">
                  <c:v>-11.784759920048828</c:v>
                </c:pt>
                <c:pt idx="7">
                  <c:v>-11.795598517062331</c:v>
                </c:pt>
                <c:pt idx="8">
                  <c:v>-11.806428583524735</c:v>
                </c:pt>
                <c:pt idx="9">
                  <c:v>-11.817250129148363</c:v>
                </c:pt>
                <c:pt idx="10">
                  <c:v>-11.828063163627576</c:v>
                </c:pt>
                <c:pt idx="11">
                  <c:v>-11.838867696638488</c:v>
                </c:pt>
                <c:pt idx="12">
                  <c:v>-11.849663737839364</c:v>
                </c:pt>
                <c:pt idx="13">
                  <c:v>-11.860451296870508</c:v>
                </c:pt>
                <c:pt idx="14">
                  <c:v>-11.871230383354145</c:v>
                </c:pt>
                <c:pt idx="15">
                  <c:v>-11.882001006894825</c:v>
                </c:pt>
                <c:pt idx="16">
                  <c:v>-11.892763177079019</c:v>
                </c:pt>
                <c:pt idx="17">
                  <c:v>-11.903516903475747</c:v>
                </c:pt>
                <c:pt idx="18">
                  <c:v>-11.914262195636013</c:v>
                </c:pt>
                <c:pt idx="19">
                  <c:v>-11.924999063093196</c:v>
                </c:pt>
                <c:pt idx="20">
                  <c:v>-11.935727515363169</c:v>
                </c:pt>
                <c:pt idx="21">
                  <c:v>-11.946447561944069</c:v>
                </c:pt>
                <c:pt idx="22">
                  <c:v>-11.957159212316469</c:v>
                </c:pt>
                <c:pt idx="23">
                  <c:v>-11.967862475943548</c:v>
                </c:pt>
                <c:pt idx="24">
                  <c:v>-11.978557362270806</c:v>
                </c:pt>
                <c:pt idx="25">
                  <c:v>-11.989243880726633</c:v>
                </c:pt>
                <c:pt idx="26">
                  <c:v>-11.999922040721742</c:v>
                </c:pt>
                <c:pt idx="27">
                  <c:v>-12.010591851649679</c:v>
                </c:pt>
                <c:pt idx="28">
                  <c:v>-12.021253322886594</c:v>
                </c:pt>
                <c:pt idx="29">
                  <c:v>-12.031906463791586</c:v>
                </c:pt>
                <c:pt idx="30">
                  <c:v>-12.042551283706302</c:v>
                </c:pt>
                <c:pt idx="31">
                  <c:v>-12.053187791955395</c:v>
                </c:pt>
                <c:pt idx="32">
                  <c:v>-12.063815997846291</c:v>
                </c:pt>
                <c:pt idx="33">
                  <c:v>-12.074435910669536</c:v>
                </c:pt>
                <c:pt idx="34">
                  <c:v>-12.085047539698394</c:v>
                </c:pt>
                <c:pt idx="35">
                  <c:v>-12.095650894189305</c:v>
                </c:pt>
                <c:pt idx="36">
                  <c:v>-12.106245983381768</c:v>
                </c:pt>
                <c:pt idx="37">
                  <c:v>-12.116832816498231</c:v>
                </c:pt>
                <c:pt idx="38">
                  <c:v>-12.127411402744542</c:v>
                </c:pt>
                <c:pt idx="39">
                  <c:v>-12.137981751309496</c:v>
                </c:pt>
                <c:pt idx="40">
                  <c:v>-12.148543871365234</c:v>
                </c:pt>
              </c:numCache>
            </c:numRef>
          </c:xVal>
          <c:yVal>
            <c:numRef>
              <c:f>'Grafic local'!$J$14:$J$56</c:f>
              <c:numCache>
                <c:formatCode>#,##0.00\ _€</c:formatCode>
                <c:ptCount val="43"/>
                <c:pt idx="0">
                  <c:v>34.025891565143034</c:v>
                </c:pt>
                <c:pt idx="1">
                  <c:v>34.013391565143031</c:v>
                </c:pt>
                <c:pt idx="2">
                  <c:v>34.000891565143029</c:v>
                </c:pt>
                <c:pt idx="3">
                  <c:v>33.988391565143026</c:v>
                </c:pt>
                <c:pt idx="4">
                  <c:v>33.975891565143023</c:v>
                </c:pt>
                <c:pt idx="5">
                  <c:v>33.96339156514302</c:v>
                </c:pt>
                <c:pt idx="6">
                  <c:v>33.950891565143017</c:v>
                </c:pt>
                <c:pt idx="7">
                  <c:v>33.938391565143014</c:v>
                </c:pt>
                <c:pt idx="8">
                  <c:v>33.925891565143012</c:v>
                </c:pt>
                <c:pt idx="9">
                  <c:v>33.913391565143009</c:v>
                </c:pt>
                <c:pt idx="10">
                  <c:v>33.900891565143006</c:v>
                </c:pt>
                <c:pt idx="11">
                  <c:v>33.888391565143003</c:v>
                </c:pt>
                <c:pt idx="12">
                  <c:v>33.875891565143</c:v>
                </c:pt>
                <c:pt idx="13">
                  <c:v>33.863391565142997</c:v>
                </c:pt>
                <c:pt idx="14">
                  <c:v>33.850891565142994</c:v>
                </c:pt>
                <c:pt idx="15">
                  <c:v>33.838391565142992</c:v>
                </c:pt>
                <c:pt idx="16">
                  <c:v>33.825891565142989</c:v>
                </c:pt>
                <c:pt idx="17">
                  <c:v>33.813391565142986</c:v>
                </c:pt>
                <c:pt idx="18">
                  <c:v>33.800891565142983</c:v>
                </c:pt>
                <c:pt idx="19">
                  <c:v>33.78839156514298</c:v>
                </c:pt>
                <c:pt idx="20">
                  <c:v>33.775891565142977</c:v>
                </c:pt>
                <c:pt idx="21">
                  <c:v>33.763391565142975</c:v>
                </c:pt>
                <c:pt idx="22">
                  <c:v>33.750891565142972</c:v>
                </c:pt>
                <c:pt idx="23">
                  <c:v>33.738391565142969</c:v>
                </c:pt>
                <c:pt idx="24">
                  <c:v>33.725891565142966</c:v>
                </c:pt>
                <c:pt idx="25">
                  <c:v>33.713391565142963</c:v>
                </c:pt>
                <c:pt idx="26">
                  <c:v>33.70089156514296</c:v>
                </c:pt>
                <c:pt idx="27">
                  <c:v>33.688391565142958</c:v>
                </c:pt>
                <c:pt idx="28">
                  <c:v>33.675891565142955</c:v>
                </c:pt>
                <c:pt idx="29">
                  <c:v>33.663391565142952</c:v>
                </c:pt>
                <c:pt idx="30">
                  <c:v>33.650891565142949</c:v>
                </c:pt>
                <c:pt idx="31">
                  <c:v>33.638391565142946</c:v>
                </c:pt>
                <c:pt idx="32">
                  <c:v>33.625891565142943</c:v>
                </c:pt>
                <c:pt idx="33">
                  <c:v>33.61339156514294</c:v>
                </c:pt>
                <c:pt idx="34">
                  <c:v>33.600891565142938</c:v>
                </c:pt>
                <c:pt idx="35">
                  <c:v>33.588391565142935</c:v>
                </c:pt>
                <c:pt idx="36">
                  <c:v>33.575891565142932</c:v>
                </c:pt>
                <c:pt idx="37">
                  <c:v>33.563391565142929</c:v>
                </c:pt>
                <c:pt idx="38">
                  <c:v>33.550891565142926</c:v>
                </c:pt>
                <c:pt idx="39">
                  <c:v>33.538391565142923</c:v>
                </c:pt>
                <c:pt idx="40">
                  <c:v>33.525891565142921</c:v>
                </c:pt>
                <c:pt idx="41">
                  <c:v>33.956439653195211</c:v>
                </c:pt>
                <c:pt idx="42">
                  <c:v>33.595343477090736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4B8-BA4B-B60E-1C15A8AB85BF}"/>
            </c:ext>
          </c:extLst>
        </c:ser>
        <c:ser>
          <c:idx val="0"/>
          <c:order val="1"/>
          <c:tx>
            <c:strRef>
              <c:f>'Grafic local'!$P$13</c:f>
              <c:strCache>
                <c:ptCount val="1"/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'Grafic local'!$P$14:$P$56</c:f>
              <c:numCache>
                <c:formatCode>0.00</c:formatCode>
                <c:ptCount val="43"/>
                <c:pt idx="0">
                  <c:v>-13.474203689607311</c:v>
                </c:pt>
                <c:pt idx="1">
                  <c:v>-13.423280367096577</c:v>
                </c:pt>
                <c:pt idx="2">
                  <c:v>-13.372635051968413</c:v>
                </c:pt>
                <c:pt idx="3">
                  <c:v>-13.322263655218185</c:v>
                </c:pt>
                <c:pt idx="4">
                  <c:v>-13.272162188796875</c:v>
                </c:pt>
                <c:pt idx="5">
                  <c:v>-13.22232676214491</c:v>
                </c:pt>
                <c:pt idx="6">
                  <c:v>-13.172753578876488</c:v>
                </c:pt>
                <c:pt idx="7">
                  <c:v>-13.123438933609593</c:v>
                </c:pt>
                <c:pt idx="8">
                  <c:v>-13.074379208929786</c:v>
                </c:pt>
                <c:pt idx="9">
                  <c:v>-13.025570872484945</c:v>
                </c:pt>
                <c:pt idx="10">
                  <c:v>-12.977010474201585</c:v>
                </c:pt>
                <c:pt idx="11">
                  <c:v>-12.928694643617133</c:v>
                </c:pt>
                <c:pt idx="12">
                  <c:v>-12.880620087323232</c:v>
                </c:pt>
                <c:pt idx="13">
                  <c:v>-12.832783586512821</c:v>
                </c:pt>
                <c:pt idx="14">
                  <c:v>-12.785181994628006</c:v>
                </c:pt>
                <c:pt idx="15">
                  <c:v>-12.737812235101153</c:v>
                </c:pt>
                <c:pt idx="16">
                  <c:v>-12.690671299187279</c:v>
                </c:pt>
                <c:pt idx="17">
                  <c:v>-12.643756243881429</c:v>
                </c:pt>
                <c:pt idx="18">
                  <c:v>-12.597064189917928</c:v>
                </c:pt>
                <c:pt idx="19">
                  <c:v>-12.550592319847247</c:v>
                </c:pt>
                <c:pt idx="20">
                  <c:v>-12.504337876186669</c:v>
                </c:pt>
                <c:pt idx="21">
                  <c:v>-12.458298159642231</c:v>
                </c:pt>
                <c:pt idx="22">
                  <c:v>-12.412470527397351</c:v>
                </c:pt>
                <c:pt idx="23">
                  <c:v>-12.366852391465992</c:v>
                </c:pt>
                <c:pt idx="24">
                  <c:v>-12.321441217106807</c:v>
                </c:pt>
                <c:pt idx="25">
                  <c:v>-12.276234521296391</c:v>
                </c:pt>
                <c:pt idx="26">
                  <c:v>-12.231229871258035</c:v>
                </c:pt>
                <c:pt idx="27">
                  <c:v>-12.186424883043998</c:v>
                </c:pt>
                <c:pt idx="28">
                  <c:v>-12.141817220168839</c:v>
                </c:pt>
                <c:pt idx="29">
                  <c:v>-12.09740459229185</c:v>
                </c:pt>
                <c:pt idx="30">
                  <c:v>-12.053184753945699</c:v>
                </c:pt>
                <c:pt idx="31">
                  <c:v>-12.009155503310396</c:v>
                </c:pt>
                <c:pt idx="32">
                  <c:v>-11.965314681029758</c:v>
                </c:pt>
                <c:pt idx="33">
                  <c:v>-11.921660169068588</c:v>
                </c:pt>
                <c:pt idx="34">
                  <c:v>-11.878189889609962</c:v>
                </c:pt>
                <c:pt idx="35">
                  <c:v>-11.834901803989116</c:v>
                </c:pt>
                <c:pt idx="36">
                  <c:v>-11.791793911664254</c:v>
                </c:pt>
                <c:pt idx="37">
                  <c:v>-11.74886424922154</c:v>
                </c:pt>
                <c:pt idx="38">
                  <c:v>-11.706110889413056</c:v>
                </c:pt>
                <c:pt idx="39">
                  <c:v>-11.663531940227642</c:v>
                </c:pt>
                <c:pt idx="40">
                  <c:v>-11.621125543990685</c:v>
                </c:pt>
              </c:numCache>
            </c:numRef>
          </c:xVal>
          <c:yVal>
            <c:numRef>
              <c:f>'Grafic local'!$J$14:$J$56</c:f>
              <c:numCache>
                <c:formatCode>#,##0.00\ _€</c:formatCode>
                <c:ptCount val="43"/>
                <c:pt idx="0">
                  <c:v>34.025891565143034</c:v>
                </c:pt>
                <c:pt idx="1">
                  <c:v>34.013391565143031</c:v>
                </c:pt>
                <c:pt idx="2">
                  <c:v>34.000891565143029</c:v>
                </c:pt>
                <c:pt idx="3">
                  <c:v>33.988391565143026</c:v>
                </c:pt>
                <c:pt idx="4">
                  <c:v>33.975891565143023</c:v>
                </c:pt>
                <c:pt idx="5">
                  <c:v>33.96339156514302</c:v>
                </c:pt>
                <c:pt idx="6">
                  <c:v>33.950891565143017</c:v>
                </c:pt>
                <c:pt idx="7">
                  <c:v>33.938391565143014</c:v>
                </c:pt>
                <c:pt idx="8">
                  <c:v>33.925891565143012</c:v>
                </c:pt>
                <c:pt idx="9">
                  <c:v>33.913391565143009</c:v>
                </c:pt>
                <c:pt idx="10">
                  <c:v>33.900891565143006</c:v>
                </c:pt>
                <c:pt idx="11">
                  <c:v>33.888391565143003</c:v>
                </c:pt>
                <c:pt idx="12">
                  <c:v>33.875891565143</c:v>
                </c:pt>
                <c:pt idx="13">
                  <c:v>33.863391565142997</c:v>
                </c:pt>
                <c:pt idx="14">
                  <c:v>33.850891565142994</c:v>
                </c:pt>
                <c:pt idx="15">
                  <c:v>33.838391565142992</c:v>
                </c:pt>
                <c:pt idx="16">
                  <c:v>33.825891565142989</c:v>
                </c:pt>
                <c:pt idx="17">
                  <c:v>33.813391565142986</c:v>
                </c:pt>
                <c:pt idx="18">
                  <c:v>33.800891565142983</c:v>
                </c:pt>
                <c:pt idx="19">
                  <c:v>33.78839156514298</c:v>
                </c:pt>
                <c:pt idx="20">
                  <c:v>33.775891565142977</c:v>
                </c:pt>
                <c:pt idx="21">
                  <c:v>33.763391565142975</c:v>
                </c:pt>
                <c:pt idx="22">
                  <c:v>33.750891565142972</c:v>
                </c:pt>
                <c:pt idx="23">
                  <c:v>33.738391565142969</c:v>
                </c:pt>
                <c:pt idx="24">
                  <c:v>33.725891565142966</c:v>
                </c:pt>
                <c:pt idx="25">
                  <c:v>33.713391565142963</c:v>
                </c:pt>
                <c:pt idx="26">
                  <c:v>33.70089156514296</c:v>
                </c:pt>
                <c:pt idx="27">
                  <c:v>33.688391565142958</c:v>
                </c:pt>
                <c:pt idx="28">
                  <c:v>33.675891565142955</c:v>
                </c:pt>
                <c:pt idx="29">
                  <c:v>33.663391565142952</c:v>
                </c:pt>
                <c:pt idx="30">
                  <c:v>33.650891565142949</c:v>
                </c:pt>
                <c:pt idx="31">
                  <c:v>33.638391565142946</c:v>
                </c:pt>
                <c:pt idx="32">
                  <c:v>33.625891565142943</c:v>
                </c:pt>
                <c:pt idx="33">
                  <c:v>33.61339156514294</c:v>
                </c:pt>
                <c:pt idx="34">
                  <c:v>33.600891565142938</c:v>
                </c:pt>
                <c:pt idx="35">
                  <c:v>33.588391565142935</c:v>
                </c:pt>
                <c:pt idx="36">
                  <c:v>33.575891565142932</c:v>
                </c:pt>
                <c:pt idx="37">
                  <c:v>33.563391565142929</c:v>
                </c:pt>
                <c:pt idx="38">
                  <c:v>33.550891565142926</c:v>
                </c:pt>
                <c:pt idx="39">
                  <c:v>33.538391565142923</c:v>
                </c:pt>
                <c:pt idx="40">
                  <c:v>33.525891565142921</c:v>
                </c:pt>
                <c:pt idx="41">
                  <c:v>33.956439653195211</c:v>
                </c:pt>
                <c:pt idx="42">
                  <c:v>33.595343477090736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04B8-BA4B-B60E-1C15A8AB85BF}"/>
            </c:ext>
          </c:extLst>
        </c:ser>
        <c:ser>
          <c:idx val="1"/>
          <c:order val="2"/>
          <c:tx>
            <c:strRef>
              <c:f>'Grafic local'!$Q$13</c:f>
              <c:strCache>
                <c:ptCount val="1"/>
              </c:strCache>
            </c:strRef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xVal>
            <c:numRef>
              <c:f>'Grafic local'!$Q$14:$Q$56</c:f>
              <c:numCache>
                <c:formatCode>0.00</c:formatCode>
                <c:ptCount val="43"/>
                <c:pt idx="0">
                  <c:v>-11.485839348108129</c:v>
                </c:pt>
                <c:pt idx="1">
                  <c:v>-11.49681556604429</c:v>
                </c:pt>
                <c:pt idx="2">
                  <c:v>-11.507783085867175</c:v>
                </c:pt>
                <c:pt idx="3">
                  <c:v>-11.518741917603563</c:v>
                </c:pt>
                <c:pt idx="4">
                  <c:v>-11.529692071261593</c:v>
                </c:pt>
                <c:pt idx="5">
                  <c:v>-11.540633556830187</c:v>
                </c:pt>
                <c:pt idx="6">
                  <c:v>-11.551566384279454</c:v>
                </c:pt>
                <c:pt idx="7">
                  <c:v>-11.562490563560914</c:v>
                </c:pt>
                <c:pt idx="8">
                  <c:v>-11.573406104607272</c:v>
                </c:pt>
                <c:pt idx="9">
                  <c:v>-11.584313017332363</c:v>
                </c:pt>
                <c:pt idx="10">
                  <c:v>-11.595211311631601</c:v>
                </c:pt>
                <c:pt idx="11">
                  <c:v>-11.606100997381759</c:v>
                </c:pt>
                <c:pt idx="12">
                  <c:v>-11.616982084440849</c:v>
                </c:pt>
                <c:pt idx="13">
                  <c:v>-11.627854582648638</c:v>
                </c:pt>
                <c:pt idx="14">
                  <c:v>-11.638718501826361</c:v>
                </c:pt>
                <c:pt idx="15">
                  <c:v>-11.649573851776836</c:v>
                </c:pt>
                <c:pt idx="16">
                  <c:v>-11.660420642284521</c:v>
                </c:pt>
                <c:pt idx="17">
                  <c:v>-11.671258883115513</c:v>
                </c:pt>
                <c:pt idx="18">
                  <c:v>-11.682088584017833</c:v>
                </c:pt>
                <c:pt idx="19">
                  <c:v>-11.692909754721029</c:v>
                </c:pt>
                <c:pt idx="20">
                  <c:v>-11.703722404936627</c:v>
                </c:pt>
                <c:pt idx="21">
                  <c:v>-11.714526544358023</c:v>
                </c:pt>
                <c:pt idx="22">
                  <c:v>-11.725322182660477</c:v>
                </c:pt>
                <c:pt idx="23">
                  <c:v>-11.736109329501346</c:v>
                </c:pt>
                <c:pt idx="24">
                  <c:v>-11.746887994519795</c:v>
                </c:pt>
                <c:pt idx="25">
                  <c:v>-11.75765818733737</c:v>
                </c:pt>
                <c:pt idx="26">
                  <c:v>-11.768419917557424</c:v>
                </c:pt>
                <c:pt idx="27">
                  <c:v>-11.779173194765519</c:v>
                </c:pt>
                <c:pt idx="28">
                  <c:v>-11.789918028529542</c:v>
                </c:pt>
                <c:pt idx="29">
                  <c:v>-11.800654428399582</c:v>
                </c:pt>
                <c:pt idx="30">
                  <c:v>-11.811382403907942</c:v>
                </c:pt>
                <c:pt idx="31">
                  <c:v>-11.822101964569356</c:v>
                </c:pt>
                <c:pt idx="32">
                  <c:v>-11.832813119880939</c:v>
                </c:pt>
                <c:pt idx="33">
                  <c:v>-11.843515879322126</c:v>
                </c:pt>
                <c:pt idx="34">
                  <c:v>-11.854210252354903</c:v>
                </c:pt>
                <c:pt idx="35">
                  <c:v>-11.864896248423804</c:v>
                </c:pt>
                <c:pt idx="36">
                  <c:v>-11.875573876955855</c:v>
                </c:pt>
                <c:pt idx="37">
                  <c:v>-11.886243147360688</c:v>
                </c:pt>
                <c:pt idx="38">
                  <c:v>-11.896904069030711</c:v>
                </c:pt>
                <c:pt idx="39">
                  <c:v>-11.907556651340826</c:v>
                </c:pt>
                <c:pt idx="40">
                  <c:v>-11.918200903648767</c:v>
                </c:pt>
              </c:numCache>
            </c:numRef>
          </c:xVal>
          <c:yVal>
            <c:numRef>
              <c:f>'Grafic local'!$J$14:$J$56</c:f>
              <c:numCache>
                <c:formatCode>#,##0.00\ _€</c:formatCode>
                <c:ptCount val="43"/>
                <c:pt idx="0">
                  <c:v>34.025891565143034</c:v>
                </c:pt>
                <c:pt idx="1">
                  <c:v>34.013391565143031</c:v>
                </c:pt>
                <c:pt idx="2">
                  <c:v>34.000891565143029</c:v>
                </c:pt>
                <c:pt idx="3">
                  <c:v>33.988391565143026</c:v>
                </c:pt>
                <c:pt idx="4">
                  <c:v>33.975891565143023</c:v>
                </c:pt>
                <c:pt idx="5">
                  <c:v>33.96339156514302</c:v>
                </c:pt>
                <c:pt idx="6">
                  <c:v>33.950891565143017</c:v>
                </c:pt>
                <c:pt idx="7">
                  <c:v>33.938391565143014</c:v>
                </c:pt>
                <c:pt idx="8">
                  <c:v>33.925891565143012</c:v>
                </c:pt>
                <c:pt idx="9">
                  <c:v>33.913391565143009</c:v>
                </c:pt>
                <c:pt idx="10">
                  <c:v>33.900891565143006</c:v>
                </c:pt>
                <c:pt idx="11">
                  <c:v>33.888391565143003</c:v>
                </c:pt>
                <c:pt idx="12">
                  <c:v>33.875891565143</c:v>
                </c:pt>
                <c:pt idx="13">
                  <c:v>33.863391565142997</c:v>
                </c:pt>
                <c:pt idx="14">
                  <c:v>33.850891565142994</c:v>
                </c:pt>
                <c:pt idx="15">
                  <c:v>33.838391565142992</c:v>
                </c:pt>
                <c:pt idx="16">
                  <c:v>33.825891565142989</c:v>
                </c:pt>
                <c:pt idx="17">
                  <c:v>33.813391565142986</c:v>
                </c:pt>
                <c:pt idx="18">
                  <c:v>33.800891565142983</c:v>
                </c:pt>
                <c:pt idx="19">
                  <c:v>33.78839156514298</c:v>
                </c:pt>
                <c:pt idx="20">
                  <c:v>33.775891565142977</c:v>
                </c:pt>
                <c:pt idx="21">
                  <c:v>33.763391565142975</c:v>
                </c:pt>
                <c:pt idx="22">
                  <c:v>33.750891565142972</c:v>
                </c:pt>
                <c:pt idx="23">
                  <c:v>33.738391565142969</c:v>
                </c:pt>
                <c:pt idx="24">
                  <c:v>33.725891565142966</c:v>
                </c:pt>
                <c:pt idx="25">
                  <c:v>33.713391565142963</c:v>
                </c:pt>
                <c:pt idx="26">
                  <c:v>33.70089156514296</c:v>
                </c:pt>
                <c:pt idx="27">
                  <c:v>33.688391565142958</c:v>
                </c:pt>
                <c:pt idx="28">
                  <c:v>33.675891565142955</c:v>
                </c:pt>
                <c:pt idx="29">
                  <c:v>33.663391565142952</c:v>
                </c:pt>
                <c:pt idx="30">
                  <c:v>33.650891565142949</c:v>
                </c:pt>
                <c:pt idx="31">
                  <c:v>33.638391565142946</c:v>
                </c:pt>
                <c:pt idx="32">
                  <c:v>33.625891565142943</c:v>
                </c:pt>
                <c:pt idx="33">
                  <c:v>33.61339156514294</c:v>
                </c:pt>
                <c:pt idx="34">
                  <c:v>33.600891565142938</c:v>
                </c:pt>
                <c:pt idx="35">
                  <c:v>33.588391565142935</c:v>
                </c:pt>
                <c:pt idx="36">
                  <c:v>33.575891565142932</c:v>
                </c:pt>
                <c:pt idx="37">
                  <c:v>33.563391565142929</c:v>
                </c:pt>
                <c:pt idx="38">
                  <c:v>33.550891565142926</c:v>
                </c:pt>
                <c:pt idx="39">
                  <c:v>33.538391565142923</c:v>
                </c:pt>
                <c:pt idx="40">
                  <c:v>33.525891565142921</c:v>
                </c:pt>
                <c:pt idx="41">
                  <c:v>33.956439653195211</c:v>
                </c:pt>
                <c:pt idx="42">
                  <c:v>33.595343477090736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B-04B8-BA4B-B60E-1C15A8AB85BF}"/>
            </c:ext>
          </c:extLst>
        </c:ser>
        <c:ser>
          <c:idx val="2"/>
          <c:order val="3"/>
          <c:tx>
            <c:strRef>
              <c:f>'Grafic local'!$R$13</c:f>
              <c:strCache>
                <c:ptCount val="1"/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dPt>
            <c:idx val="42"/>
            <c:marker>
              <c:symbol val="none"/>
            </c:marker>
            <c:bubble3D val="0"/>
            <c:spPr>
              <a:ln w="19050" cap="rnd">
                <a:solidFill>
                  <a:srgbClr val="0070C0"/>
                </a:solidFill>
                <a:round/>
                <a:tailEnd type="stealth" w="lg" len="lg"/>
              </a:ln>
              <a:effectLst/>
            </c:spPr>
            <c:extLst>
              <c:ext xmlns:c16="http://schemas.microsoft.com/office/drawing/2014/chart" uri="{C3380CC4-5D6E-409C-BE32-E72D297353CC}">
                <c16:uniqueId val="{0000000D-04B8-BA4B-B60E-1C15A8AB85BF}"/>
              </c:ext>
            </c:extLst>
          </c:dPt>
          <c:xVal>
            <c:numRef>
              <c:f>'Grafic local'!$R$14:$R$56</c:f>
              <c:numCache>
                <c:formatCode>General</c:formatCode>
                <c:ptCount val="43"/>
                <c:pt idx="41" formatCode="0.00">
                  <c:v>-11.782515360587169</c:v>
                </c:pt>
                <c:pt idx="42" formatCode="0.00">
                  <c:v>-11.858954233477355</c:v>
                </c:pt>
              </c:numCache>
            </c:numRef>
          </c:xVal>
          <c:yVal>
            <c:numRef>
              <c:f>'Grafic local'!$J$14:$J$56</c:f>
              <c:numCache>
                <c:formatCode>#,##0.00\ _€</c:formatCode>
                <c:ptCount val="43"/>
                <c:pt idx="0">
                  <c:v>34.025891565143034</c:v>
                </c:pt>
                <c:pt idx="1">
                  <c:v>34.013391565143031</c:v>
                </c:pt>
                <c:pt idx="2">
                  <c:v>34.000891565143029</c:v>
                </c:pt>
                <c:pt idx="3">
                  <c:v>33.988391565143026</c:v>
                </c:pt>
                <c:pt idx="4">
                  <c:v>33.975891565143023</c:v>
                </c:pt>
                <c:pt idx="5">
                  <c:v>33.96339156514302</c:v>
                </c:pt>
                <c:pt idx="6">
                  <c:v>33.950891565143017</c:v>
                </c:pt>
                <c:pt idx="7">
                  <c:v>33.938391565143014</c:v>
                </c:pt>
                <c:pt idx="8">
                  <c:v>33.925891565143012</c:v>
                </c:pt>
                <c:pt idx="9">
                  <c:v>33.913391565143009</c:v>
                </c:pt>
                <c:pt idx="10">
                  <c:v>33.900891565143006</c:v>
                </c:pt>
                <c:pt idx="11">
                  <c:v>33.888391565143003</c:v>
                </c:pt>
                <c:pt idx="12">
                  <c:v>33.875891565143</c:v>
                </c:pt>
                <c:pt idx="13">
                  <c:v>33.863391565142997</c:v>
                </c:pt>
                <c:pt idx="14">
                  <c:v>33.850891565142994</c:v>
                </c:pt>
                <c:pt idx="15">
                  <c:v>33.838391565142992</c:v>
                </c:pt>
                <c:pt idx="16">
                  <c:v>33.825891565142989</c:v>
                </c:pt>
                <c:pt idx="17">
                  <c:v>33.813391565142986</c:v>
                </c:pt>
                <c:pt idx="18">
                  <c:v>33.800891565142983</c:v>
                </c:pt>
                <c:pt idx="19">
                  <c:v>33.78839156514298</c:v>
                </c:pt>
                <c:pt idx="20">
                  <c:v>33.775891565142977</c:v>
                </c:pt>
                <c:pt idx="21">
                  <c:v>33.763391565142975</c:v>
                </c:pt>
                <c:pt idx="22">
                  <c:v>33.750891565142972</c:v>
                </c:pt>
                <c:pt idx="23">
                  <c:v>33.738391565142969</c:v>
                </c:pt>
                <c:pt idx="24">
                  <c:v>33.725891565142966</c:v>
                </c:pt>
                <c:pt idx="25">
                  <c:v>33.713391565142963</c:v>
                </c:pt>
                <c:pt idx="26">
                  <c:v>33.70089156514296</c:v>
                </c:pt>
                <c:pt idx="27">
                  <c:v>33.688391565142958</c:v>
                </c:pt>
                <c:pt idx="28">
                  <c:v>33.675891565142955</c:v>
                </c:pt>
                <c:pt idx="29">
                  <c:v>33.663391565142952</c:v>
                </c:pt>
                <c:pt idx="30">
                  <c:v>33.650891565142949</c:v>
                </c:pt>
                <c:pt idx="31">
                  <c:v>33.638391565142946</c:v>
                </c:pt>
                <c:pt idx="32">
                  <c:v>33.625891565142943</c:v>
                </c:pt>
                <c:pt idx="33">
                  <c:v>33.61339156514294</c:v>
                </c:pt>
                <c:pt idx="34">
                  <c:v>33.600891565142938</c:v>
                </c:pt>
                <c:pt idx="35">
                  <c:v>33.588391565142935</c:v>
                </c:pt>
                <c:pt idx="36">
                  <c:v>33.575891565142932</c:v>
                </c:pt>
                <c:pt idx="37">
                  <c:v>33.563391565142929</c:v>
                </c:pt>
                <c:pt idx="38">
                  <c:v>33.550891565142926</c:v>
                </c:pt>
                <c:pt idx="39">
                  <c:v>33.538391565142923</c:v>
                </c:pt>
                <c:pt idx="40">
                  <c:v>33.525891565142921</c:v>
                </c:pt>
                <c:pt idx="41">
                  <c:v>33.956439653195211</c:v>
                </c:pt>
                <c:pt idx="42">
                  <c:v>33.595343477090736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C-04B8-BA4B-B60E-1C15A8AB85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85045856"/>
        <c:axId val="1385133584"/>
      </c:scatterChart>
      <c:valAx>
        <c:axId val="13850458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.0\°_ ;[Red]\-0.0\°\ 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1385133584"/>
        <c:crosses val="autoZero"/>
        <c:crossBetween val="midCat"/>
        <c:majorUnit val="0.5"/>
      </c:valAx>
      <c:valAx>
        <c:axId val="13851335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.0\°_ ;[Red]\-0.0\°\ 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1385045856"/>
        <c:crosses val="autoZero"/>
        <c:crossBetween val="midCat"/>
        <c:majorUnit val="0.5"/>
        <c:minorUnit val="0.16660000000000003"/>
      </c:valAx>
      <c:spPr>
        <a:noFill/>
        <a:ln>
          <a:noFill/>
        </a:ln>
        <a:effectLst/>
      </c:spPr>
    </c:plotArea>
    <c:plotVisOnly val="0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rgbClr val="C00000"/>
      </a:solidFill>
      <a:round/>
    </a:ln>
    <a:effectLst>
      <a:outerShdw blurRad="50800" dist="50800" dir="5400000" algn="ctr" rotWithShape="0">
        <a:schemeClr val="bg1"/>
      </a:outerShdw>
    </a:effectLst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0882708810334875E-2"/>
          <c:y val="1.6340839581893335E-2"/>
          <c:w val="0.86166452597680609"/>
          <c:h val="0.96264283025484187"/>
        </c:manualLayout>
      </c:layout>
      <c:scatterChart>
        <c:scatterStyle val="smoothMarker"/>
        <c:varyColors val="0"/>
        <c:ser>
          <c:idx val="0"/>
          <c:order val="0"/>
          <c:tx>
            <c:v>lamda 1s</c:v>
          </c:tx>
          <c:spPr>
            <a:ln w="19050" cap="rnd" cmpd="sng">
              <a:solidFill>
                <a:schemeClr val="accent6">
                  <a:lumMod val="40000"/>
                  <a:lumOff val="60000"/>
                </a:schemeClr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'Grafic global'!$U$5:$U$190</c:f>
              <c:numCache>
                <c:formatCode>0.00</c:formatCode>
                <c:ptCount val="186"/>
                <c:pt idx="0">
                  <c:v>30.302628721247402</c:v>
                </c:pt>
                <c:pt idx="1">
                  <c:v>30.302628721247402</c:v>
                </c:pt>
                <c:pt idx="2">
                  <c:v>37.665185395720755</c:v>
                </c:pt>
                <c:pt idx="3">
                  <c:v>41.643841087146996</c:v>
                </c:pt>
                <c:pt idx="4">
                  <c:v>44.559484934240004</c:v>
                </c:pt>
                <c:pt idx="5">
                  <c:v>46.943492704068774</c:v>
                </c:pt>
                <c:pt idx="6">
                  <c:v>48.989986788632621</c:v>
                </c:pt>
                <c:pt idx="7">
                  <c:v>50.796441000988523</c:v>
                </c:pt>
                <c:pt idx="8">
                  <c:v>52.420253721475433</c:v>
                </c:pt>
                <c:pt idx="9">
                  <c:v>53.898712852200447</c:v>
                </c:pt>
                <c:pt idx="10">
                  <c:v>55.257724679141461</c:v>
                </c:pt>
                <c:pt idx="11">
                  <c:v>56.516191570886633</c:v>
                </c:pt>
                <c:pt idx="12">
                  <c:v>57.68843044678232</c:v>
                </c:pt>
                <c:pt idx="13">
                  <c:v>58.785609061083392</c:v>
                </c:pt>
                <c:pt idx="14">
                  <c:v>59.816648397932624</c:v>
                </c:pt>
                <c:pt idx="15">
                  <c:v>60.788815842244162</c:v>
                </c:pt>
                <c:pt idx="16">
                  <c:v>61.708129834848137</c:v>
                </c:pt>
                <c:pt idx="17">
                  <c:v>62.579644634556757</c:v>
                </c:pt>
                <c:pt idx="18">
                  <c:v>63.407656069785332</c:v>
                </c:pt>
                <c:pt idx="19">
                  <c:v>64.195853617887508</c:v>
                </c:pt>
                <c:pt idx="20">
                  <c:v>64.947435056646157</c:v>
                </c:pt>
                <c:pt idx="21">
                  <c:v>65.665194412075664</c:v>
                </c:pt>
                <c:pt idx="22">
                  <c:v>66.351590466302923</c:v>
                </c:pt>
                <c:pt idx="23">
                  <c:v>67.008800858161578</c:v>
                </c:pt>
                <c:pt idx="24">
                  <c:v>67.638765334284471</c:v>
                </c:pt>
                <c:pt idx="25">
                  <c:v>68.243220711638457</c:v>
                </c:pt>
                <c:pt idx="26">
                  <c:v>68.823729425131376</c:v>
                </c:pt>
                <c:pt idx="27">
                  <c:v>69.381703051404088</c:v>
                </c:pt>
                <c:pt idx="28">
                  <c:v>69.918421855611996</c:v>
                </c:pt>
                <c:pt idx="29">
                  <c:v>70.435051158622173</c:v>
                </c:pt>
                <c:pt idx="30">
                  <c:v>70.932655138955283</c:v>
                </c:pt>
                <c:pt idx="31">
                  <c:v>71.412208547674936</c:v>
                </c:pt>
                <c:pt idx="32">
                  <c:v>71.874606712047239</c:v>
                </c:pt>
                <c:pt idx="33">
                  <c:v>72.320674125962114</c:v>
                </c:pt>
                <c:pt idx="34">
                  <c:v>72.751171865357946</c:v>
                </c:pt>
                <c:pt idx="35">
                  <c:v>73.166804020586369</c:v>
                </c:pt>
                <c:pt idx="36">
                  <c:v>73.568223301468834</c:v>
                </c:pt>
                <c:pt idx="37">
                  <c:v>73.956035942281915</c:v>
                </c:pt>
                <c:pt idx="38">
                  <c:v>74.330806011275797</c:v>
                </c:pt>
                <c:pt idx="39">
                  <c:v>74.693059211231002</c:v>
                </c:pt>
                <c:pt idx="40">
                  <c:v>75.043286242996487</c:v>
                </c:pt>
                <c:pt idx="41">
                  <c:v>75.381945792151953</c:v>
                </c:pt>
                <c:pt idx="42">
                  <c:v>75.709467189327711</c:v>
                </c:pt>
                <c:pt idx="43">
                  <c:v>76.026252786840416</c:v>
                </c:pt>
                <c:pt idx="44">
                  <c:v>76.332680087813799</c:v>
                </c:pt>
                <c:pt idx="45">
                  <c:v>76.629103658585393</c:v>
                </c:pt>
                <c:pt idx="46">
                  <c:v>76.915856850731757</c:v>
                </c:pt>
                <c:pt idx="47">
                  <c:v>77.193253355309935</c:v>
                </c:pt>
                <c:pt idx="48">
                  <c:v>77.461588608781994</c:v>
                </c:pt>
                <c:pt idx="49">
                  <c:v>77.721141067445558</c:v>
                </c:pt>
                <c:pt idx="50">
                  <c:v>77.972173364961236</c:v>
                </c:pt>
                <c:pt idx="51">
                  <c:v>78.214933365666809</c:v>
                </c:pt>
                <c:pt idx="52">
                  <c:v>78.449655124753008</c:v>
                </c:pt>
                <c:pt idx="53">
                  <c:v>78.676559764989406</c:v>
                </c:pt>
                <c:pt idx="54">
                  <c:v>78.895856278501299</c:v>
                </c:pt>
                <c:pt idx="55">
                  <c:v>79.107742261076908</c:v>
                </c:pt>
                <c:pt idx="56">
                  <c:v>79.312404585598472</c:v>
                </c:pt>
                <c:pt idx="57">
                  <c:v>79.51002002042776</c:v>
                </c:pt>
                <c:pt idx="58">
                  <c:v>79.70075579790938</c:v>
                </c:pt>
                <c:pt idx="59">
                  <c:v>79.884770137577789</c:v>
                </c:pt>
                <c:pt idx="60">
                  <c:v>80.062212728146278</c:v>
                </c:pt>
                <c:pt idx="61">
                  <c:v>80.233225171915194</c:v>
                </c:pt>
                <c:pt idx="62">
                  <c:v>80.397941394843599</c:v>
                </c:pt>
                <c:pt idx="63">
                  <c:v>80.556488025190959</c:v>
                </c:pt>
                <c:pt idx="64">
                  <c:v>80.708984743328756</c:v>
                </c:pt>
                <c:pt idx="65">
                  <c:v>80.855544605056991</c:v>
                </c:pt>
                <c:pt idx="66">
                  <c:v>80.996274340523314</c:v>
                </c:pt>
                <c:pt idx="67">
                  <c:v>81.131274630630003</c:v>
                </c:pt>
                <c:pt idx="68">
                  <c:v>81.26064036262909</c:v>
                </c:pt>
                <c:pt idx="69">
                  <c:v>81.384460866436484</c:v>
                </c:pt>
                <c:pt idx="70">
                  <c:v>81.502820133045759</c:v>
                </c:pt>
                <c:pt idx="71">
                  <c:v>81.61579701629023</c:v>
                </c:pt>
                <c:pt idx="72">
                  <c:v>81.723465419077741</c:v>
                </c:pt>
                <c:pt idx="73">
                  <c:v>81.825894465115766</c:v>
                </c:pt>
                <c:pt idx="74">
                  <c:v>81.92314865704617</c:v>
                </c:pt>
                <c:pt idx="75">
                  <c:v>82.015288021817582</c:v>
                </c:pt>
                <c:pt idx="76">
                  <c:v>82.102368244044271</c:v>
                </c:pt>
                <c:pt idx="77">
                  <c:v>82.184440788026336</c:v>
                </c:pt>
                <c:pt idx="78">
                  <c:v>82.261553009037016</c:v>
                </c:pt>
                <c:pt idx="79">
                  <c:v>82.333748254422915</c:v>
                </c:pt>
                <c:pt idx="80">
                  <c:v>82.401065955004015</c:v>
                </c:pt>
                <c:pt idx="81">
                  <c:v>82.463541707209629</c:v>
                </c:pt>
                <c:pt idx="82">
                  <c:v>82.521207346335927</c:v>
                </c:pt>
                <c:pt idx="83">
                  <c:v>82.574091011266034</c:v>
                </c:pt>
                <c:pt idx="84">
                  <c:v>82.622217200950217</c:v>
                </c:pt>
                <c:pt idx="85">
                  <c:v>82.665606822905659</c:v>
                </c:pt>
                <c:pt idx="86">
                  <c:v>82.704277233953064</c:v>
                </c:pt>
                <c:pt idx="87">
                  <c:v>82.738242273376954</c:v>
                </c:pt>
                <c:pt idx="88">
                  <c:v>82.767512288655155</c:v>
                </c:pt>
                <c:pt idx="89">
                  <c:v>82.792094153876803</c:v>
                </c:pt>
                <c:pt idx="90">
                  <c:v>82.811991280928055</c:v>
                </c:pt>
                <c:pt idx="91">
                  <c:v>82.827203623499599</c:v>
                </c:pt>
                <c:pt idx="92">
                  <c:v>82.837727673933557</c:v>
                </c:pt>
                <c:pt idx="93">
                  <c:v>82.843556452899691</c:v>
                </c:pt>
                <c:pt idx="94">
                  <c:v>82.84467949185688</c:v>
                </c:pt>
                <c:pt idx="95">
                  <c:v>82.841082808226417</c:v>
                </c:pt>
                <c:pt idx="96">
                  <c:v>82.832748873169578</c:v>
                </c:pt>
                <c:pt idx="97">
                  <c:v>82.81965657183116</c:v>
                </c:pt>
                <c:pt idx="98">
                  <c:v>82.801781155874494</c:v>
                </c:pt>
                <c:pt idx="99">
                  <c:v>82.779094188099577</c:v>
                </c:pt>
                <c:pt idx="100">
                  <c:v>82.751563478899243</c:v>
                </c:pt>
                <c:pt idx="101">
                  <c:v>82.719153014267533</c:v>
                </c:pt>
                <c:pt idx="102">
                  <c:v>82.681822875036346</c:v>
                </c:pt>
                <c:pt idx="103">
                  <c:v>82.639529146969892</c:v>
                </c:pt>
                <c:pt idx="104">
                  <c:v>82.59222382130082</c:v>
                </c:pt>
                <c:pt idx="105">
                  <c:v>82.539854685243427</c:v>
                </c:pt>
                <c:pt idx="106">
                  <c:v>82.482365201960704</c:v>
                </c:pt>
                <c:pt idx="107">
                  <c:v>82.419694379409464</c:v>
                </c:pt>
                <c:pt idx="108">
                  <c:v>82.351776627417962</c:v>
                </c:pt>
                <c:pt idx="109">
                  <c:v>82.278541602285941</c:v>
                </c:pt>
                <c:pt idx="110">
                  <c:v>82.199914038118322</c:v>
                </c:pt>
                <c:pt idx="111">
                  <c:v>82.115813564020357</c:v>
                </c:pt>
                <c:pt idx="112">
                  <c:v>82.026154506193166</c:v>
                </c:pt>
                <c:pt idx="113">
                  <c:v>81.930845673863587</c:v>
                </c:pt>
                <c:pt idx="114">
                  <c:v>81.829790127874617</c:v>
                </c:pt>
                <c:pt idx="115">
                  <c:v>81.722884930635018</c:v>
                </c:pt>
                <c:pt idx="116">
                  <c:v>81.610020875993712</c:v>
                </c:pt>
                <c:pt idx="117">
                  <c:v>81.491082197446417</c:v>
                </c:pt>
                <c:pt idx="118">
                  <c:v>81.365946252916217</c:v>
                </c:pt>
                <c:pt idx="119">
                  <c:v>81.234483184154726</c:v>
                </c:pt>
                <c:pt idx="120">
                  <c:v>81.09655554859944</c:v>
                </c:pt>
                <c:pt idx="121">
                  <c:v>80.952017921281026</c:v>
                </c:pt>
                <c:pt idx="122">
                  <c:v>80.800716464103516</c:v>
                </c:pt>
                <c:pt idx="123">
                  <c:v>80.642488459516585</c:v>
                </c:pt>
                <c:pt idx="124">
                  <c:v>80.477161805252138</c:v>
                </c:pt>
                <c:pt idx="125">
                  <c:v>80.304554466406671</c:v>
                </c:pt>
                <c:pt idx="126">
                  <c:v>80.124473880707228</c:v>
                </c:pt>
                <c:pt idx="127">
                  <c:v>79.936716312290798</c:v>
                </c:pt>
                <c:pt idx="128">
                  <c:v>79.741066148749042</c:v>
                </c:pt>
                <c:pt idx="129">
                  <c:v>79.537295135529405</c:v>
                </c:pt>
                <c:pt idx="130">
                  <c:v>79.325161541022112</c:v>
                </c:pt>
                <c:pt idx="131">
                  <c:v>79.104409244787973</c:v>
                </c:pt>
                <c:pt idx="132">
                  <c:v>78.87476674037373</c:v>
                </c:pt>
                <c:pt idx="133">
                  <c:v>78.635946042989417</c:v>
                </c:pt>
                <c:pt idx="134">
                  <c:v>78.387641490966928</c:v>
                </c:pt>
                <c:pt idx="135">
                  <c:v>78.12952842833613</c:v>
                </c:pt>
                <c:pt idx="136">
                  <c:v>77.861261754002726</c:v>
                </c:pt>
                <c:pt idx="137">
                  <c:v>77.582474320846302</c:v>
                </c:pt>
                <c:pt idx="138">
                  <c:v>77.29277516549763</c:v>
                </c:pt>
                <c:pt idx="139">
                  <c:v>76.991747546538306</c:v>
                </c:pt>
                <c:pt idx="140">
                  <c:v>76.678946765278965</c:v>
                </c:pt>
                <c:pt idx="141">
                  <c:v>76.353897739005163</c:v>
                </c:pt>
                <c:pt idx="142">
                  <c:v>76.016092291468624</c:v>
                </c:pt>
                <c:pt idx="143">
                  <c:v>75.664986119255673</c:v>
                </c:pt>
                <c:pt idx="144">
                  <c:v>75.299995385245609</c:v>
                </c:pt>
                <c:pt idx="145">
                  <c:v>74.920492881350981</c:v>
                </c:pt>
                <c:pt idx="146">
                  <c:v>74.525803691732733</c:v>
                </c:pt>
                <c:pt idx="147">
                  <c:v>74.115200274165602</c:v>
                </c:pt>
                <c:pt idx="148">
                  <c:v>73.687896860540604</c:v>
                </c:pt>
                <c:pt idx="149">
                  <c:v>73.243043056742408</c:v>
                </c:pt>
                <c:pt idx="150">
                  <c:v>72.779716496173478</c:v>
                </c:pt>
                <c:pt idx="151">
                  <c:v>72.296914368466901</c:v>
                </c:pt>
                <c:pt idx="152">
                  <c:v>71.793543603356852</c:v>
                </c:pt>
                <c:pt idx="153">
                  <c:v>71.268409436441459</c:v>
                </c:pt>
                <c:pt idx="154">
                  <c:v>70.720202014803817</c:v>
                </c:pt>
                <c:pt idx="155">
                  <c:v>70.147480610789444</c:v>
                </c:pt>
                <c:pt idx="156">
                  <c:v>69.54865489414243</c:v>
                </c:pt>
                <c:pt idx="157">
                  <c:v>68.921962555456787</c:v>
                </c:pt>
                <c:pt idx="158">
                  <c:v>68.265442362076442</c:v>
                </c:pt>
                <c:pt idx="159">
                  <c:v>67.576901438561322</c:v>
                </c:pt>
                <c:pt idx="160">
                  <c:v>66.853875164012777</c:v>
                </c:pt>
                <c:pt idx="161">
                  <c:v>66.093577516987125</c:v>
                </c:pt>
                <c:pt idx="162">
                  <c:v>65.292838896782541</c:v>
                </c:pt>
                <c:pt idx="163">
                  <c:v>64.448027283468775</c:v>
                </c:pt>
                <c:pt idx="164">
                  <c:v>63.554946867644844</c:v>
                </c:pt>
                <c:pt idx="165">
                  <c:v>62.608705651954381</c:v>
                </c:pt>
                <c:pt idx="166">
                  <c:v>61.60353943152495</c:v>
                </c:pt>
                <c:pt idx="167">
                  <c:v>60.532572995796727</c:v>
                </c:pt>
                <c:pt idx="168">
                  <c:v>59.387488517763245</c:v>
                </c:pt>
                <c:pt idx="169">
                  <c:v>58.158052379243486</c:v>
                </c:pt>
                <c:pt idx="170">
                  <c:v>56.831418010284551</c:v>
                </c:pt>
                <c:pt idx="171">
                  <c:v>55.391058487898249</c:v>
                </c:pt>
                <c:pt idx="172">
                  <c:v>53.815053723010806</c:v>
                </c:pt>
                <c:pt idx="173">
                  <c:v>52.073175601093396</c:v>
                </c:pt>
                <c:pt idx="174">
                  <c:v>50.121536052367105</c:v>
                </c:pt>
                <c:pt idx="175">
                  <c:v>47.891699945757011</c:v>
                </c:pt>
                <c:pt idx="176">
                  <c:v>45.26502132840352</c:v>
                </c:pt>
                <c:pt idx="177">
                  <c:v>41.996072710131727</c:v>
                </c:pt>
                <c:pt idx="178">
                  <c:v>37.345297760381357</c:v>
                </c:pt>
                <c:pt idx="179">
                  <c:v>30.402594681489575</c:v>
                </c:pt>
                <c:pt idx="180">
                  <c:v>30.402594681489575</c:v>
                </c:pt>
                <c:pt idx="181">
                  <c:v>30.402594681489575</c:v>
                </c:pt>
                <c:pt idx="182">
                  <c:v>30.402594681489575</c:v>
                </c:pt>
                <c:pt idx="183">
                  <c:v>30.402594681489575</c:v>
                </c:pt>
                <c:pt idx="184">
                  <c:v>30.402594681489575</c:v>
                </c:pt>
                <c:pt idx="185">
                  <c:v>30.402594681489575</c:v>
                </c:pt>
              </c:numCache>
            </c:numRef>
          </c:xVal>
          <c:yVal>
            <c:numRef>
              <c:f>'Grafic global'!$M$5:$M$190</c:f>
              <c:numCache>
                <c:formatCode>0.00\°;[Red]0.00\°</c:formatCode>
                <c:ptCount val="186"/>
                <c:pt idx="0">
                  <c:v>50.236037975847395</c:v>
                </c:pt>
                <c:pt idx="1">
                  <c:v>50.236037975847395</c:v>
                </c:pt>
                <c:pt idx="2">
                  <c:v>49.732210285908657</c:v>
                </c:pt>
                <c:pt idx="3">
                  <c:v>49.128232746747656</c:v>
                </c:pt>
                <c:pt idx="4">
                  <c:v>48.524255207586656</c:v>
                </c:pt>
                <c:pt idx="5">
                  <c:v>47.920277668425655</c:v>
                </c:pt>
                <c:pt idx="6">
                  <c:v>47.316300129264654</c:v>
                </c:pt>
                <c:pt idx="7">
                  <c:v>46.712322590103653</c:v>
                </c:pt>
                <c:pt idx="8">
                  <c:v>46.108345050942653</c:v>
                </c:pt>
                <c:pt idx="9">
                  <c:v>45.504367511781652</c:v>
                </c:pt>
                <c:pt idx="10">
                  <c:v>44.900389972620651</c:v>
                </c:pt>
                <c:pt idx="11">
                  <c:v>44.296412433459651</c:v>
                </c:pt>
                <c:pt idx="12">
                  <c:v>43.69243489429865</c:v>
                </c:pt>
                <c:pt idx="13">
                  <c:v>43.088457355137649</c:v>
                </c:pt>
                <c:pt idx="14">
                  <c:v>42.484479815976648</c:v>
                </c:pt>
                <c:pt idx="15">
                  <c:v>41.880502276815648</c:v>
                </c:pt>
                <c:pt idx="16">
                  <c:v>41.276524737654647</c:v>
                </c:pt>
                <c:pt idx="17">
                  <c:v>40.672547198493646</c:v>
                </c:pt>
                <c:pt idx="18">
                  <c:v>40.068569659332645</c:v>
                </c:pt>
                <c:pt idx="19">
                  <c:v>39.464592120171645</c:v>
                </c:pt>
                <c:pt idx="20">
                  <c:v>38.860614581010644</c:v>
                </c:pt>
                <c:pt idx="21">
                  <c:v>38.256637041849643</c:v>
                </c:pt>
                <c:pt idx="22">
                  <c:v>37.652659502688643</c:v>
                </c:pt>
                <c:pt idx="23">
                  <c:v>37.048681963527642</c:v>
                </c:pt>
                <c:pt idx="24">
                  <c:v>36.444704424366641</c:v>
                </c:pt>
                <c:pt idx="25">
                  <c:v>35.84072688520564</c:v>
                </c:pt>
                <c:pt idx="26">
                  <c:v>35.23674934604464</c:v>
                </c:pt>
                <c:pt idx="27">
                  <c:v>34.632771806883639</c:v>
                </c:pt>
                <c:pt idx="28">
                  <c:v>34.028794267722638</c:v>
                </c:pt>
                <c:pt idx="29">
                  <c:v>33.424816728561638</c:v>
                </c:pt>
                <c:pt idx="30">
                  <c:v>32.820839189400637</c:v>
                </c:pt>
                <c:pt idx="31">
                  <c:v>32.216861650239636</c:v>
                </c:pt>
                <c:pt idx="32">
                  <c:v>31.612884111078632</c:v>
                </c:pt>
                <c:pt idx="33">
                  <c:v>31.008906571917628</c:v>
                </c:pt>
                <c:pt idx="34">
                  <c:v>30.404929032756623</c:v>
                </c:pt>
                <c:pt idx="35">
                  <c:v>29.800951493595619</c:v>
                </c:pt>
                <c:pt idx="36">
                  <c:v>29.196973954434615</c:v>
                </c:pt>
                <c:pt idx="37">
                  <c:v>28.59299641527361</c:v>
                </c:pt>
                <c:pt idx="38">
                  <c:v>27.989018876112606</c:v>
                </c:pt>
                <c:pt idx="39">
                  <c:v>27.385041336951602</c:v>
                </c:pt>
                <c:pt idx="40">
                  <c:v>26.781063797790598</c:v>
                </c:pt>
                <c:pt idx="41">
                  <c:v>26.177086258629593</c:v>
                </c:pt>
                <c:pt idx="42">
                  <c:v>25.573108719468589</c:v>
                </c:pt>
                <c:pt idx="43">
                  <c:v>24.969131180307585</c:v>
                </c:pt>
                <c:pt idx="44">
                  <c:v>24.365153641146581</c:v>
                </c:pt>
                <c:pt idx="45">
                  <c:v>23.761176101985576</c:v>
                </c:pt>
                <c:pt idx="46">
                  <c:v>23.157198562824572</c:v>
                </c:pt>
                <c:pt idx="47">
                  <c:v>22.553221023663568</c:v>
                </c:pt>
                <c:pt idx="48">
                  <c:v>21.949243484502563</c:v>
                </c:pt>
                <c:pt idx="49">
                  <c:v>21.345265945341559</c:v>
                </c:pt>
                <c:pt idx="50">
                  <c:v>20.741288406180555</c:v>
                </c:pt>
                <c:pt idx="51">
                  <c:v>20.137310867019551</c:v>
                </c:pt>
                <c:pt idx="52">
                  <c:v>19.533333327858546</c:v>
                </c:pt>
                <c:pt idx="53">
                  <c:v>18.929355788697542</c:v>
                </c:pt>
                <c:pt idx="54">
                  <c:v>18.325378249536538</c:v>
                </c:pt>
                <c:pt idx="55">
                  <c:v>17.721400710375534</c:v>
                </c:pt>
                <c:pt idx="56">
                  <c:v>17.117423171214529</c:v>
                </c:pt>
                <c:pt idx="57">
                  <c:v>16.513445632053525</c:v>
                </c:pt>
                <c:pt idx="58">
                  <c:v>15.909468092892521</c:v>
                </c:pt>
                <c:pt idx="59">
                  <c:v>15.305490553731516</c:v>
                </c:pt>
                <c:pt idx="60">
                  <c:v>14.701513014570512</c:v>
                </c:pt>
                <c:pt idx="61">
                  <c:v>14.097535475409508</c:v>
                </c:pt>
                <c:pt idx="62">
                  <c:v>13.493557936248504</c:v>
                </c:pt>
                <c:pt idx="63">
                  <c:v>12.889580397087499</c:v>
                </c:pt>
                <c:pt idx="64">
                  <c:v>12.285602857926495</c:v>
                </c:pt>
                <c:pt idx="65">
                  <c:v>11.681625318765491</c:v>
                </c:pt>
                <c:pt idx="66">
                  <c:v>11.077647779604487</c:v>
                </c:pt>
                <c:pt idx="67">
                  <c:v>10.473670240443482</c:v>
                </c:pt>
                <c:pt idx="68">
                  <c:v>9.869692701282478</c:v>
                </c:pt>
                <c:pt idx="69">
                  <c:v>9.2657151621214737</c:v>
                </c:pt>
                <c:pt idx="70">
                  <c:v>8.6617376229604695</c:v>
                </c:pt>
                <c:pt idx="71">
                  <c:v>8.0577600837994652</c:v>
                </c:pt>
                <c:pt idx="72">
                  <c:v>7.4537825446384618</c:v>
                </c:pt>
                <c:pt idx="73">
                  <c:v>6.8498050054774584</c:v>
                </c:pt>
                <c:pt idx="74">
                  <c:v>6.245827466316455</c:v>
                </c:pt>
                <c:pt idx="75">
                  <c:v>5.6418499271554516</c:v>
                </c:pt>
                <c:pt idx="76">
                  <c:v>5.0378723879944483</c:v>
                </c:pt>
                <c:pt idx="77">
                  <c:v>4.4338948488334449</c:v>
                </c:pt>
                <c:pt idx="78">
                  <c:v>3.829917309672441</c:v>
                </c:pt>
                <c:pt idx="79">
                  <c:v>3.2259397705114372</c:v>
                </c:pt>
                <c:pt idx="80">
                  <c:v>2.6219622313504334</c:v>
                </c:pt>
                <c:pt idx="81">
                  <c:v>2.0179846921894296</c:v>
                </c:pt>
                <c:pt idx="82">
                  <c:v>1.4140071530284257</c:v>
                </c:pt>
                <c:pt idx="83">
                  <c:v>0.810029613867422</c:v>
                </c:pt>
                <c:pt idx="84">
                  <c:v>0.20605207470641829</c:v>
                </c:pt>
                <c:pt idx="85">
                  <c:v>-0.39792546445458543</c:v>
                </c:pt>
                <c:pt idx="86">
                  <c:v>-1.0019030036155891</c:v>
                </c:pt>
                <c:pt idx="87">
                  <c:v>-1.605880542776593</c:v>
                </c:pt>
                <c:pt idx="88">
                  <c:v>-2.2098580819375968</c:v>
                </c:pt>
                <c:pt idx="89">
                  <c:v>-2.8138356210986006</c:v>
                </c:pt>
                <c:pt idx="90">
                  <c:v>-3.4178131602596045</c:v>
                </c:pt>
                <c:pt idx="91">
                  <c:v>-4.0217906994206079</c:v>
                </c:pt>
                <c:pt idx="92">
                  <c:v>-4.6257682385816112</c:v>
                </c:pt>
                <c:pt idx="93">
                  <c:v>-5.2297457777426146</c:v>
                </c:pt>
                <c:pt idx="94">
                  <c:v>-5.833723316903618</c:v>
                </c:pt>
                <c:pt idx="95">
                  <c:v>-6.4377008560646214</c:v>
                </c:pt>
                <c:pt idx="96">
                  <c:v>-7.0416783952256248</c:v>
                </c:pt>
                <c:pt idx="97">
                  <c:v>-7.6456559343866282</c:v>
                </c:pt>
                <c:pt idx="98">
                  <c:v>-8.2496334735476324</c:v>
                </c:pt>
                <c:pt idx="99">
                  <c:v>-8.8536110127086367</c:v>
                </c:pt>
                <c:pt idx="100">
                  <c:v>-9.457588551869641</c:v>
                </c:pt>
                <c:pt idx="101">
                  <c:v>-10.061566091030645</c:v>
                </c:pt>
                <c:pt idx="102">
                  <c:v>-10.66554363019165</c:v>
                </c:pt>
                <c:pt idx="103">
                  <c:v>-11.269521169352654</c:v>
                </c:pt>
                <c:pt idx="104">
                  <c:v>-11.873498708513658</c:v>
                </c:pt>
                <c:pt idx="105">
                  <c:v>-12.477476247674662</c:v>
                </c:pt>
                <c:pt idx="106">
                  <c:v>-13.081453786835667</c:v>
                </c:pt>
                <c:pt idx="107">
                  <c:v>-13.685431325996671</c:v>
                </c:pt>
                <c:pt idx="108">
                  <c:v>-14.289408865157675</c:v>
                </c:pt>
                <c:pt idx="109">
                  <c:v>-14.893386404318679</c:v>
                </c:pt>
                <c:pt idx="110">
                  <c:v>-15.497363943479684</c:v>
                </c:pt>
                <c:pt idx="111">
                  <c:v>-16.101341482640688</c:v>
                </c:pt>
                <c:pt idx="112">
                  <c:v>-16.705319021801692</c:v>
                </c:pt>
                <c:pt idx="113">
                  <c:v>-17.309296560962697</c:v>
                </c:pt>
                <c:pt idx="114">
                  <c:v>-17.913274100123701</c:v>
                </c:pt>
                <c:pt idx="115">
                  <c:v>-18.517251639284705</c:v>
                </c:pt>
                <c:pt idx="116">
                  <c:v>-19.121229178445709</c:v>
                </c:pt>
                <c:pt idx="117">
                  <c:v>-19.725206717606714</c:v>
                </c:pt>
                <c:pt idx="118">
                  <c:v>-20.329184256767718</c:v>
                </c:pt>
                <c:pt idx="119">
                  <c:v>-20.933161795928722</c:v>
                </c:pt>
                <c:pt idx="120">
                  <c:v>-21.537139335089726</c:v>
                </c:pt>
                <c:pt idx="121">
                  <c:v>-22.141116874250731</c:v>
                </c:pt>
                <c:pt idx="122">
                  <c:v>-22.745094413411735</c:v>
                </c:pt>
                <c:pt idx="123">
                  <c:v>-23.349071952572739</c:v>
                </c:pt>
                <c:pt idx="124">
                  <c:v>-23.953049491733744</c:v>
                </c:pt>
                <c:pt idx="125">
                  <c:v>-24.557027030894748</c:v>
                </c:pt>
                <c:pt idx="126">
                  <c:v>-25.161004570055752</c:v>
                </c:pt>
                <c:pt idx="127">
                  <c:v>-25.764982109216756</c:v>
                </c:pt>
                <c:pt idx="128">
                  <c:v>-26.368959648377761</c:v>
                </c:pt>
                <c:pt idx="129">
                  <c:v>-26.972937187538765</c:v>
                </c:pt>
                <c:pt idx="130">
                  <c:v>-27.576914726699769</c:v>
                </c:pt>
                <c:pt idx="131">
                  <c:v>-28.180892265860773</c:v>
                </c:pt>
                <c:pt idx="132">
                  <c:v>-28.784869805021778</c:v>
                </c:pt>
                <c:pt idx="133">
                  <c:v>-29.388847344182782</c:v>
                </c:pt>
                <c:pt idx="134">
                  <c:v>-29.992824883343786</c:v>
                </c:pt>
                <c:pt idx="135">
                  <c:v>-30.596802422504791</c:v>
                </c:pt>
                <c:pt idx="136">
                  <c:v>-31.200779961665795</c:v>
                </c:pt>
                <c:pt idx="137">
                  <c:v>-31.804757500826799</c:v>
                </c:pt>
                <c:pt idx="138">
                  <c:v>-32.408735039987803</c:v>
                </c:pt>
                <c:pt idx="139">
                  <c:v>-33.012712579148804</c:v>
                </c:pt>
                <c:pt idx="140">
                  <c:v>-33.616690118309805</c:v>
                </c:pt>
                <c:pt idx="141">
                  <c:v>-34.220667657470806</c:v>
                </c:pt>
                <c:pt idx="142">
                  <c:v>-34.824645196631806</c:v>
                </c:pt>
                <c:pt idx="143">
                  <c:v>-35.428622735792807</c:v>
                </c:pt>
                <c:pt idx="144">
                  <c:v>-36.032600274953808</c:v>
                </c:pt>
                <c:pt idx="145">
                  <c:v>-36.636577814114808</c:v>
                </c:pt>
                <c:pt idx="146">
                  <c:v>-37.240555353275809</c:v>
                </c:pt>
                <c:pt idx="147">
                  <c:v>-37.84453289243681</c:v>
                </c:pt>
                <c:pt idx="148">
                  <c:v>-38.448510431597811</c:v>
                </c:pt>
                <c:pt idx="149">
                  <c:v>-39.052487970758811</c:v>
                </c:pt>
                <c:pt idx="150">
                  <c:v>-39.656465509919812</c:v>
                </c:pt>
                <c:pt idx="151">
                  <c:v>-40.260443049080813</c:v>
                </c:pt>
                <c:pt idx="152">
                  <c:v>-40.864420588241813</c:v>
                </c:pt>
                <c:pt idx="153">
                  <c:v>-41.468398127402814</c:v>
                </c:pt>
                <c:pt idx="154">
                  <c:v>-42.072375666563815</c:v>
                </c:pt>
                <c:pt idx="155">
                  <c:v>-42.676353205724816</c:v>
                </c:pt>
                <c:pt idx="156">
                  <c:v>-43.280330744885816</c:v>
                </c:pt>
                <c:pt idx="157">
                  <c:v>-43.884308284046817</c:v>
                </c:pt>
                <c:pt idx="158">
                  <c:v>-44.488285823207818</c:v>
                </c:pt>
                <c:pt idx="159">
                  <c:v>-45.092263362368818</c:v>
                </c:pt>
                <c:pt idx="160">
                  <c:v>-45.696240901529819</c:v>
                </c:pt>
                <c:pt idx="161">
                  <c:v>-46.30021844069082</c:v>
                </c:pt>
                <c:pt idx="162">
                  <c:v>-46.904195979851821</c:v>
                </c:pt>
                <c:pt idx="163">
                  <c:v>-47.508173519012821</c:v>
                </c:pt>
                <c:pt idx="164">
                  <c:v>-48.112151058173822</c:v>
                </c:pt>
                <c:pt idx="165">
                  <c:v>-48.716128597334823</c:v>
                </c:pt>
                <c:pt idx="166">
                  <c:v>-49.320106136495824</c:v>
                </c:pt>
                <c:pt idx="167">
                  <c:v>-49.924083675656824</c:v>
                </c:pt>
                <c:pt idx="168">
                  <c:v>-50.528061214817825</c:v>
                </c:pt>
                <c:pt idx="169">
                  <c:v>-51.132038753978826</c:v>
                </c:pt>
                <c:pt idx="170">
                  <c:v>-51.736016293139826</c:v>
                </c:pt>
                <c:pt idx="171">
                  <c:v>-52.339993832300827</c:v>
                </c:pt>
                <c:pt idx="172">
                  <c:v>-52.943971371461828</c:v>
                </c:pt>
                <c:pt idx="173">
                  <c:v>-53.547948910622829</c:v>
                </c:pt>
                <c:pt idx="174">
                  <c:v>-54.151926449783829</c:v>
                </c:pt>
                <c:pt idx="175">
                  <c:v>-54.75590398894483</c:v>
                </c:pt>
                <c:pt idx="176">
                  <c:v>-55.359881528105831</c:v>
                </c:pt>
                <c:pt idx="177">
                  <c:v>-55.963859067266831</c:v>
                </c:pt>
                <c:pt idx="178">
                  <c:v>-56.567836606427832</c:v>
                </c:pt>
                <c:pt idx="179">
                  <c:v>-56.963480055293246</c:v>
                </c:pt>
                <c:pt idx="180">
                  <c:v>-56.963480055293246</c:v>
                </c:pt>
                <c:pt idx="181">
                  <c:v>-56.963480055293246</c:v>
                </c:pt>
                <c:pt idx="182">
                  <c:v>-56.963480055293246</c:v>
                </c:pt>
                <c:pt idx="183">
                  <c:v>-56.963480055293246</c:v>
                </c:pt>
                <c:pt idx="184">
                  <c:v>-56.963480055293246</c:v>
                </c:pt>
                <c:pt idx="185">
                  <c:v>-56.963480055293246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D39-4440-9FF5-395D9AC8DD4F}"/>
            </c:ext>
          </c:extLst>
        </c:ser>
        <c:ser>
          <c:idx val="1"/>
          <c:order val="1"/>
          <c:tx>
            <c:v>lamda 1</c:v>
          </c:tx>
          <c:spPr>
            <a:ln w="2540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xVal>
            <c:numRef>
              <c:f>'Grafic global'!$T$5:$T$190</c:f>
              <c:numCache>
                <c:formatCode>0.00</c:formatCode>
                <c:ptCount val="186"/>
                <c:pt idx="0">
                  <c:v>27.89877454513794</c:v>
                </c:pt>
                <c:pt idx="1">
                  <c:v>27.89877454513794</c:v>
                </c:pt>
                <c:pt idx="2">
                  <c:v>20.536217870664586</c:v>
                </c:pt>
                <c:pt idx="3">
                  <c:v>16.557562179238346</c:v>
                </c:pt>
                <c:pt idx="4">
                  <c:v>13.641918332145337</c:v>
                </c:pt>
                <c:pt idx="5">
                  <c:v>11.257910562316624</c:v>
                </c:pt>
                <c:pt idx="6">
                  <c:v>9.2114164777527208</c:v>
                </c:pt>
                <c:pt idx="7">
                  <c:v>7.4049622653968754</c:v>
                </c:pt>
                <c:pt idx="8">
                  <c:v>5.7811495449099084</c:v>
                </c:pt>
                <c:pt idx="9">
                  <c:v>4.3026904141848945</c:v>
                </c:pt>
                <c:pt idx="10">
                  <c:v>2.9436785872438804</c:v>
                </c:pt>
                <c:pt idx="11">
                  <c:v>1.6852116954987082</c:v>
                </c:pt>
                <c:pt idx="12">
                  <c:v>0.51297281960307828</c:v>
                </c:pt>
                <c:pt idx="13">
                  <c:v>-0.58420579469805034</c:v>
                </c:pt>
                <c:pt idx="14">
                  <c:v>-1.6152451315472263</c:v>
                </c:pt>
                <c:pt idx="15">
                  <c:v>-2.5874125758588207</c:v>
                </c:pt>
                <c:pt idx="16">
                  <c:v>-3.5067265684627387</c:v>
                </c:pt>
                <c:pt idx="17">
                  <c:v>-4.3782413681714161</c:v>
                </c:pt>
                <c:pt idx="18">
                  <c:v>-5.2062528033999342</c:v>
                </c:pt>
                <c:pt idx="19">
                  <c:v>-5.9944503515021665</c:v>
                </c:pt>
                <c:pt idx="20">
                  <c:v>-6.7460317902608153</c:v>
                </c:pt>
                <c:pt idx="21">
                  <c:v>-7.4637911456903225</c:v>
                </c:pt>
                <c:pt idx="22">
                  <c:v>-8.1501871999175819</c:v>
                </c:pt>
                <c:pt idx="23">
                  <c:v>-8.8073975917762368</c:v>
                </c:pt>
                <c:pt idx="24">
                  <c:v>-9.4373620678991301</c:v>
                </c:pt>
                <c:pt idx="25">
                  <c:v>-10.041817445253116</c:v>
                </c:pt>
                <c:pt idx="26">
                  <c:v>-10.622326158745977</c:v>
                </c:pt>
                <c:pt idx="27">
                  <c:v>-11.18029978501869</c:v>
                </c:pt>
                <c:pt idx="28">
                  <c:v>-11.717018589226598</c:v>
                </c:pt>
                <c:pt idx="29">
                  <c:v>-12.233647892236831</c:v>
                </c:pt>
                <c:pt idx="30">
                  <c:v>-12.731251872569942</c:v>
                </c:pt>
                <c:pt idx="31">
                  <c:v>-13.210805281289595</c:v>
                </c:pt>
                <c:pt idx="32">
                  <c:v>-13.673203445661841</c:v>
                </c:pt>
                <c:pt idx="33">
                  <c:v>-14.119270859576773</c:v>
                </c:pt>
                <c:pt idx="34">
                  <c:v>-14.549768598972548</c:v>
                </c:pt>
                <c:pt idx="35">
                  <c:v>-14.965400754200971</c:v>
                </c:pt>
                <c:pt idx="36">
                  <c:v>-15.366820035083435</c:v>
                </c:pt>
                <c:pt idx="37">
                  <c:v>-15.754632675896573</c:v>
                </c:pt>
                <c:pt idx="38">
                  <c:v>-16.129402744890399</c:v>
                </c:pt>
                <c:pt idx="39">
                  <c:v>-16.491655944845661</c:v>
                </c:pt>
                <c:pt idx="40">
                  <c:v>-16.841882976611146</c:v>
                </c:pt>
                <c:pt idx="41">
                  <c:v>-17.180542525766555</c:v>
                </c:pt>
                <c:pt idx="42">
                  <c:v>-17.50806392294237</c:v>
                </c:pt>
                <c:pt idx="43">
                  <c:v>-17.824849520455075</c:v>
                </c:pt>
                <c:pt idx="44">
                  <c:v>-18.131276821428401</c:v>
                </c:pt>
                <c:pt idx="45">
                  <c:v>-18.427700392200052</c:v>
                </c:pt>
                <c:pt idx="46">
                  <c:v>-18.714453584346415</c:v>
                </c:pt>
                <c:pt idx="47">
                  <c:v>-18.991850088924593</c:v>
                </c:pt>
                <c:pt idx="48">
                  <c:v>-19.260185342396596</c:v>
                </c:pt>
                <c:pt idx="49">
                  <c:v>-19.519737801060216</c:v>
                </c:pt>
                <c:pt idx="50">
                  <c:v>-19.770770098575838</c:v>
                </c:pt>
                <c:pt idx="51">
                  <c:v>-20.013530099281411</c:v>
                </c:pt>
                <c:pt idx="52">
                  <c:v>-20.24825185836761</c:v>
                </c:pt>
                <c:pt idx="53">
                  <c:v>-20.475156498604008</c:v>
                </c:pt>
                <c:pt idx="54">
                  <c:v>-20.694453012115957</c:v>
                </c:pt>
                <c:pt idx="55">
                  <c:v>-20.906338994691566</c:v>
                </c:pt>
                <c:pt idx="56">
                  <c:v>-21.111001319213131</c:v>
                </c:pt>
                <c:pt idx="57">
                  <c:v>-21.308616754042419</c:v>
                </c:pt>
                <c:pt idx="58">
                  <c:v>-21.499352531524039</c:v>
                </c:pt>
                <c:pt idx="59">
                  <c:v>-21.683366871192391</c:v>
                </c:pt>
                <c:pt idx="60">
                  <c:v>-21.86080946176088</c:v>
                </c:pt>
                <c:pt idx="61">
                  <c:v>-22.031821905529796</c:v>
                </c:pt>
                <c:pt idx="62">
                  <c:v>-22.196538128458201</c:v>
                </c:pt>
                <c:pt idx="63">
                  <c:v>-22.35508475880556</c:v>
                </c:pt>
                <c:pt idx="64">
                  <c:v>-22.507581476943358</c:v>
                </c:pt>
                <c:pt idx="65">
                  <c:v>-22.65414133867165</c:v>
                </c:pt>
                <c:pt idx="66">
                  <c:v>-22.794871074137973</c:v>
                </c:pt>
                <c:pt idx="67">
                  <c:v>-22.929871364244605</c:v>
                </c:pt>
                <c:pt idx="68">
                  <c:v>-23.059237096243749</c:v>
                </c:pt>
                <c:pt idx="69">
                  <c:v>-23.183057600051086</c:v>
                </c:pt>
                <c:pt idx="70">
                  <c:v>-23.301416866660418</c:v>
                </c:pt>
                <c:pt idx="71">
                  <c:v>-23.414393749904889</c:v>
                </c:pt>
                <c:pt idx="72">
                  <c:v>-23.522062152692342</c:v>
                </c:pt>
                <c:pt idx="73">
                  <c:v>-23.624491198730425</c:v>
                </c:pt>
                <c:pt idx="74">
                  <c:v>-23.721745390660828</c:v>
                </c:pt>
                <c:pt idx="75">
                  <c:v>-23.813884755432184</c:v>
                </c:pt>
                <c:pt idx="76">
                  <c:v>-23.900964977658873</c:v>
                </c:pt>
                <c:pt idx="77">
                  <c:v>-23.983037521640938</c:v>
                </c:pt>
                <c:pt idx="78">
                  <c:v>-24.060149742651674</c:v>
                </c:pt>
                <c:pt idx="79">
                  <c:v>-24.132344988037573</c:v>
                </c:pt>
                <c:pt idx="80">
                  <c:v>-24.199662688618616</c:v>
                </c:pt>
                <c:pt idx="81">
                  <c:v>-24.262138440824231</c:v>
                </c:pt>
                <c:pt idx="82">
                  <c:v>-24.319804079950529</c:v>
                </c:pt>
                <c:pt idx="83">
                  <c:v>-24.372687744880636</c:v>
                </c:pt>
                <c:pt idx="84">
                  <c:v>-24.420813934564876</c:v>
                </c:pt>
                <c:pt idx="85">
                  <c:v>-24.46420355652026</c:v>
                </c:pt>
                <c:pt idx="86">
                  <c:v>-24.502873967567723</c:v>
                </c:pt>
                <c:pt idx="87">
                  <c:v>-24.536839006991556</c:v>
                </c:pt>
                <c:pt idx="88">
                  <c:v>-24.566109022269814</c:v>
                </c:pt>
                <c:pt idx="89">
                  <c:v>-24.590690887491405</c:v>
                </c:pt>
                <c:pt idx="90">
                  <c:v>-24.610588014542714</c:v>
                </c:pt>
                <c:pt idx="91">
                  <c:v>-24.625800357114258</c:v>
                </c:pt>
                <c:pt idx="92">
                  <c:v>-24.636324407548216</c:v>
                </c:pt>
                <c:pt idx="93">
                  <c:v>-24.642153186514349</c:v>
                </c:pt>
                <c:pt idx="94">
                  <c:v>-24.643276225471539</c:v>
                </c:pt>
                <c:pt idx="95">
                  <c:v>-24.639679541841019</c:v>
                </c:pt>
                <c:pt idx="96">
                  <c:v>-24.631345606784237</c:v>
                </c:pt>
                <c:pt idx="97">
                  <c:v>-24.618253305445819</c:v>
                </c:pt>
                <c:pt idx="98">
                  <c:v>-24.600377889489096</c:v>
                </c:pt>
                <c:pt idx="99">
                  <c:v>-24.577690921714236</c:v>
                </c:pt>
                <c:pt idx="100">
                  <c:v>-24.550160212513902</c:v>
                </c:pt>
                <c:pt idx="101">
                  <c:v>-24.517749747882192</c:v>
                </c:pt>
                <c:pt idx="102">
                  <c:v>-24.480419608651005</c:v>
                </c:pt>
                <c:pt idx="103">
                  <c:v>-24.438125880584494</c:v>
                </c:pt>
                <c:pt idx="104">
                  <c:v>-24.390820554915422</c:v>
                </c:pt>
                <c:pt idx="105">
                  <c:v>-24.338451418858028</c:v>
                </c:pt>
                <c:pt idx="106">
                  <c:v>-24.280961935575363</c:v>
                </c:pt>
                <c:pt idx="107">
                  <c:v>-24.218291113024065</c:v>
                </c:pt>
                <c:pt idx="108">
                  <c:v>-24.150373361032621</c:v>
                </c:pt>
                <c:pt idx="109">
                  <c:v>-24.077138335900599</c:v>
                </c:pt>
                <c:pt idx="110">
                  <c:v>-23.998510771732924</c:v>
                </c:pt>
                <c:pt idx="111">
                  <c:v>-23.914410297635015</c:v>
                </c:pt>
                <c:pt idx="112">
                  <c:v>-23.824751239807767</c:v>
                </c:pt>
                <c:pt idx="113">
                  <c:v>-23.729442407478246</c:v>
                </c:pt>
                <c:pt idx="114">
                  <c:v>-23.628386861489275</c:v>
                </c:pt>
                <c:pt idx="115">
                  <c:v>-23.52148166424962</c:v>
                </c:pt>
                <c:pt idx="116">
                  <c:v>-23.408617609608314</c:v>
                </c:pt>
                <c:pt idx="117">
                  <c:v>-23.289678931061076</c:v>
                </c:pt>
                <c:pt idx="118">
                  <c:v>-23.164542986530819</c:v>
                </c:pt>
                <c:pt idx="119">
                  <c:v>-23.033079917769328</c:v>
                </c:pt>
                <c:pt idx="120">
                  <c:v>-22.895152282214099</c:v>
                </c:pt>
                <c:pt idx="121">
                  <c:v>-22.750614654895628</c:v>
                </c:pt>
                <c:pt idx="122">
                  <c:v>-22.599313197718175</c:v>
                </c:pt>
                <c:pt idx="123">
                  <c:v>-22.441085193131244</c:v>
                </c:pt>
                <c:pt idx="124">
                  <c:v>-22.275758538866796</c:v>
                </c:pt>
                <c:pt idx="125">
                  <c:v>-22.103151200021273</c:v>
                </c:pt>
                <c:pt idx="126">
                  <c:v>-21.923070614321887</c:v>
                </c:pt>
                <c:pt idx="127">
                  <c:v>-21.7353130459054</c:v>
                </c:pt>
                <c:pt idx="128">
                  <c:v>-21.539662882363643</c:v>
                </c:pt>
                <c:pt idx="129">
                  <c:v>-21.335891869144007</c:v>
                </c:pt>
                <c:pt idx="130">
                  <c:v>-21.123758274636714</c:v>
                </c:pt>
                <c:pt idx="131">
                  <c:v>-20.903005978402632</c:v>
                </c:pt>
                <c:pt idx="132">
                  <c:v>-20.673363473988388</c:v>
                </c:pt>
                <c:pt idx="133">
                  <c:v>-20.434542776604019</c:v>
                </c:pt>
                <c:pt idx="134">
                  <c:v>-20.186238224581587</c:v>
                </c:pt>
                <c:pt idx="135">
                  <c:v>-19.928125161950788</c:v>
                </c:pt>
                <c:pt idx="136">
                  <c:v>-19.659858487617328</c:v>
                </c:pt>
                <c:pt idx="137">
                  <c:v>-19.381071054460904</c:v>
                </c:pt>
                <c:pt idx="138">
                  <c:v>-19.091371899112232</c:v>
                </c:pt>
                <c:pt idx="139">
                  <c:v>-18.790344280152965</c:v>
                </c:pt>
                <c:pt idx="140">
                  <c:v>-18.477543498893624</c:v>
                </c:pt>
                <c:pt idx="141">
                  <c:v>-18.152494472619821</c:v>
                </c:pt>
                <c:pt idx="142">
                  <c:v>-17.814689025083226</c:v>
                </c:pt>
                <c:pt idx="143">
                  <c:v>-17.463582852870331</c:v>
                </c:pt>
                <c:pt idx="144">
                  <c:v>-17.098592118860267</c:v>
                </c:pt>
                <c:pt idx="145">
                  <c:v>-16.719089614965583</c:v>
                </c:pt>
                <c:pt idx="146">
                  <c:v>-16.324400425347392</c:v>
                </c:pt>
                <c:pt idx="147">
                  <c:v>-15.913797007780261</c:v>
                </c:pt>
                <c:pt idx="148">
                  <c:v>-15.486493594155263</c:v>
                </c:pt>
                <c:pt idx="149">
                  <c:v>-15.04163979035701</c:v>
                </c:pt>
                <c:pt idx="150">
                  <c:v>-14.578313229788137</c:v>
                </c:pt>
                <c:pt idx="151">
                  <c:v>-14.095511102081502</c:v>
                </c:pt>
                <c:pt idx="152">
                  <c:v>-13.592140336971454</c:v>
                </c:pt>
                <c:pt idx="153">
                  <c:v>-13.067006170056061</c:v>
                </c:pt>
                <c:pt idx="154">
                  <c:v>-12.518798748418419</c:v>
                </c:pt>
                <c:pt idx="155">
                  <c:v>-11.946077344404102</c:v>
                </c:pt>
                <c:pt idx="156">
                  <c:v>-11.347251627757089</c:v>
                </c:pt>
                <c:pt idx="157">
                  <c:v>-10.720559289071446</c:v>
                </c:pt>
                <c:pt idx="158">
                  <c:v>-10.064039095691101</c:v>
                </c:pt>
                <c:pt idx="159">
                  <c:v>-9.3754981721759805</c:v>
                </c:pt>
                <c:pt idx="160">
                  <c:v>-8.6524718976274357</c:v>
                </c:pt>
                <c:pt idx="161">
                  <c:v>-7.8921742506017836</c:v>
                </c:pt>
                <c:pt idx="162">
                  <c:v>-7.0914356303971999</c:v>
                </c:pt>
                <c:pt idx="163">
                  <c:v>-6.2466240170833771</c:v>
                </c:pt>
                <c:pt idx="164">
                  <c:v>-5.3535436012595028</c:v>
                </c:pt>
                <c:pt idx="165">
                  <c:v>-4.4073023855690394</c:v>
                </c:pt>
                <c:pt idx="166">
                  <c:v>-3.4021361651395523</c:v>
                </c:pt>
                <c:pt idx="167">
                  <c:v>-2.3311697294113287</c:v>
                </c:pt>
                <c:pt idx="168">
                  <c:v>-1.1860852513778468</c:v>
                </c:pt>
                <c:pt idx="169">
                  <c:v>4.3350887141912153E-2</c:v>
                </c:pt>
                <c:pt idx="170">
                  <c:v>1.369985256100847</c:v>
                </c:pt>
                <c:pt idx="171">
                  <c:v>2.8103447784871491</c:v>
                </c:pt>
                <c:pt idx="172">
                  <c:v>4.3863495433745356</c:v>
                </c:pt>
                <c:pt idx="173">
                  <c:v>6.128227665291945</c:v>
                </c:pt>
                <c:pt idx="174">
                  <c:v>8.079867214018293</c:v>
                </c:pt>
                <c:pt idx="175">
                  <c:v>10.30970332062833</c:v>
                </c:pt>
                <c:pt idx="176">
                  <c:v>12.936381937981821</c:v>
                </c:pt>
                <c:pt idx="177">
                  <c:v>16.205330556253614</c:v>
                </c:pt>
                <c:pt idx="178">
                  <c:v>20.856105506004042</c:v>
                </c:pt>
                <c:pt idx="179">
                  <c:v>27.798808584895767</c:v>
                </c:pt>
                <c:pt idx="180">
                  <c:v>27.798808584895767</c:v>
                </c:pt>
                <c:pt idx="181">
                  <c:v>27.798808584895767</c:v>
                </c:pt>
                <c:pt idx="182">
                  <c:v>27.798808584895767</c:v>
                </c:pt>
                <c:pt idx="183">
                  <c:v>27.798808584895767</c:v>
                </c:pt>
                <c:pt idx="184">
                  <c:v>27.798808584895767</c:v>
                </c:pt>
                <c:pt idx="185">
                  <c:v>27.798808584895767</c:v>
                </c:pt>
              </c:numCache>
            </c:numRef>
          </c:xVal>
          <c:yVal>
            <c:numRef>
              <c:f>'Grafic global'!$M$5:$M$190</c:f>
              <c:numCache>
                <c:formatCode>0.00\°;[Red]0.00\°</c:formatCode>
                <c:ptCount val="186"/>
                <c:pt idx="0">
                  <c:v>50.236037975847395</c:v>
                </c:pt>
                <c:pt idx="1">
                  <c:v>50.236037975847395</c:v>
                </c:pt>
                <c:pt idx="2">
                  <c:v>49.732210285908657</c:v>
                </c:pt>
                <c:pt idx="3">
                  <c:v>49.128232746747656</c:v>
                </c:pt>
                <c:pt idx="4">
                  <c:v>48.524255207586656</c:v>
                </c:pt>
                <c:pt idx="5">
                  <c:v>47.920277668425655</c:v>
                </c:pt>
                <c:pt idx="6">
                  <c:v>47.316300129264654</c:v>
                </c:pt>
                <c:pt idx="7">
                  <c:v>46.712322590103653</c:v>
                </c:pt>
                <c:pt idx="8">
                  <c:v>46.108345050942653</c:v>
                </c:pt>
                <c:pt idx="9">
                  <c:v>45.504367511781652</c:v>
                </c:pt>
                <c:pt idx="10">
                  <c:v>44.900389972620651</c:v>
                </c:pt>
                <c:pt idx="11">
                  <c:v>44.296412433459651</c:v>
                </c:pt>
                <c:pt idx="12">
                  <c:v>43.69243489429865</c:v>
                </c:pt>
                <c:pt idx="13">
                  <c:v>43.088457355137649</c:v>
                </c:pt>
                <c:pt idx="14">
                  <c:v>42.484479815976648</c:v>
                </c:pt>
                <c:pt idx="15">
                  <c:v>41.880502276815648</c:v>
                </c:pt>
                <c:pt idx="16">
                  <c:v>41.276524737654647</c:v>
                </c:pt>
                <c:pt idx="17">
                  <c:v>40.672547198493646</c:v>
                </c:pt>
                <c:pt idx="18">
                  <c:v>40.068569659332645</c:v>
                </c:pt>
                <c:pt idx="19">
                  <c:v>39.464592120171645</c:v>
                </c:pt>
                <c:pt idx="20">
                  <c:v>38.860614581010644</c:v>
                </c:pt>
                <c:pt idx="21">
                  <c:v>38.256637041849643</c:v>
                </c:pt>
                <c:pt idx="22">
                  <c:v>37.652659502688643</c:v>
                </c:pt>
                <c:pt idx="23">
                  <c:v>37.048681963527642</c:v>
                </c:pt>
                <c:pt idx="24">
                  <c:v>36.444704424366641</c:v>
                </c:pt>
                <c:pt idx="25">
                  <c:v>35.84072688520564</c:v>
                </c:pt>
                <c:pt idx="26">
                  <c:v>35.23674934604464</c:v>
                </c:pt>
                <c:pt idx="27">
                  <c:v>34.632771806883639</c:v>
                </c:pt>
                <c:pt idx="28">
                  <c:v>34.028794267722638</c:v>
                </c:pt>
                <c:pt idx="29">
                  <c:v>33.424816728561638</c:v>
                </c:pt>
                <c:pt idx="30">
                  <c:v>32.820839189400637</c:v>
                </c:pt>
                <c:pt idx="31">
                  <c:v>32.216861650239636</c:v>
                </c:pt>
                <c:pt idx="32">
                  <c:v>31.612884111078632</c:v>
                </c:pt>
                <c:pt idx="33">
                  <c:v>31.008906571917628</c:v>
                </c:pt>
                <c:pt idx="34">
                  <c:v>30.404929032756623</c:v>
                </c:pt>
                <c:pt idx="35">
                  <c:v>29.800951493595619</c:v>
                </c:pt>
                <c:pt idx="36">
                  <c:v>29.196973954434615</c:v>
                </c:pt>
                <c:pt idx="37">
                  <c:v>28.59299641527361</c:v>
                </c:pt>
                <c:pt idx="38">
                  <c:v>27.989018876112606</c:v>
                </c:pt>
                <c:pt idx="39">
                  <c:v>27.385041336951602</c:v>
                </c:pt>
                <c:pt idx="40">
                  <c:v>26.781063797790598</c:v>
                </c:pt>
                <c:pt idx="41">
                  <c:v>26.177086258629593</c:v>
                </c:pt>
                <c:pt idx="42">
                  <c:v>25.573108719468589</c:v>
                </c:pt>
                <c:pt idx="43">
                  <c:v>24.969131180307585</c:v>
                </c:pt>
                <c:pt idx="44">
                  <c:v>24.365153641146581</c:v>
                </c:pt>
                <c:pt idx="45">
                  <c:v>23.761176101985576</c:v>
                </c:pt>
                <c:pt idx="46">
                  <c:v>23.157198562824572</c:v>
                </c:pt>
                <c:pt idx="47">
                  <c:v>22.553221023663568</c:v>
                </c:pt>
                <c:pt idx="48">
                  <c:v>21.949243484502563</c:v>
                </c:pt>
                <c:pt idx="49">
                  <c:v>21.345265945341559</c:v>
                </c:pt>
                <c:pt idx="50">
                  <c:v>20.741288406180555</c:v>
                </c:pt>
                <c:pt idx="51">
                  <c:v>20.137310867019551</c:v>
                </c:pt>
                <c:pt idx="52">
                  <c:v>19.533333327858546</c:v>
                </c:pt>
                <c:pt idx="53">
                  <c:v>18.929355788697542</c:v>
                </c:pt>
                <c:pt idx="54">
                  <c:v>18.325378249536538</c:v>
                </c:pt>
                <c:pt idx="55">
                  <c:v>17.721400710375534</c:v>
                </c:pt>
                <c:pt idx="56">
                  <c:v>17.117423171214529</c:v>
                </c:pt>
                <c:pt idx="57">
                  <c:v>16.513445632053525</c:v>
                </c:pt>
                <c:pt idx="58">
                  <c:v>15.909468092892521</c:v>
                </c:pt>
                <c:pt idx="59">
                  <c:v>15.305490553731516</c:v>
                </c:pt>
                <c:pt idx="60">
                  <c:v>14.701513014570512</c:v>
                </c:pt>
                <c:pt idx="61">
                  <c:v>14.097535475409508</c:v>
                </c:pt>
                <c:pt idx="62">
                  <c:v>13.493557936248504</c:v>
                </c:pt>
                <c:pt idx="63">
                  <c:v>12.889580397087499</c:v>
                </c:pt>
                <c:pt idx="64">
                  <c:v>12.285602857926495</c:v>
                </c:pt>
                <c:pt idx="65">
                  <c:v>11.681625318765491</c:v>
                </c:pt>
                <c:pt idx="66">
                  <c:v>11.077647779604487</c:v>
                </c:pt>
                <c:pt idx="67">
                  <c:v>10.473670240443482</c:v>
                </c:pt>
                <c:pt idx="68">
                  <c:v>9.869692701282478</c:v>
                </c:pt>
                <c:pt idx="69">
                  <c:v>9.2657151621214737</c:v>
                </c:pt>
                <c:pt idx="70">
                  <c:v>8.6617376229604695</c:v>
                </c:pt>
                <c:pt idx="71">
                  <c:v>8.0577600837994652</c:v>
                </c:pt>
                <c:pt idx="72">
                  <c:v>7.4537825446384618</c:v>
                </c:pt>
                <c:pt idx="73">
                  <c:v>6.8498050054774584</c:v>
                </c:pt>
                <c:pt idx="74">
                  <c:v>6.245827466316455</c:v>
                </c:pt>
                <c:pt idx="75">
                  <c:v>5.6418499271554516</c:v>
                </c:pt>
                <c:pt idx="76">
                  <c:v>5.0378723879944483</c:v>
                </c:pt>
                <c:pt idx="77">
                  <c:v>4.4338948488334449</c:v>
                </c:pt>
                <c:pt idx="78">
                  <c:v>3.829917309672441</c:v>
                </c:pt>
                <c:pt idx="79">
                  <c:v>3.2259397705114372</c:v>
                </c:pt>
                <c:pt idx="80">
                  <c:v>2.6219622313504334</c:v>
                </c:pt>
                <c:pt idx="81">
                  <c:v>2.0179846921894296</c:v>
                </c:pt>
                <c:pt idx="82">
                  <c:v>1.4140071530284257</c:v>
                </c:pt>
                <c:pt idx="83">
                  <c:v>0.810029613867422</c:v>
                </c:pt>
                <c:pt idx="84">
                  <c:v>0.20605207470641829</c:v>
                </c:pt>
                <c:pt idx="85">
                  <c:v>-0.39792546445458543</c:v>
                </c:pt>
                <c:pt idx="86">
                  <c:v>-1.0019030036155891</c:v>
                </c:pt>
                <c:pt idx="87">
                  <c:v>-1.605880542776593</c:v>
                </c:pt>
                <c:pt idx="88">
                  <c:v>-2.2098580819375968</c:v>
                </c:pt>
                <c:pt idx="89">
                  <c:v>-2.8138356210986006</c:v>
                </c:pt>
                <c:pt idx="90">
                  <c:v>-3.4178131602596045</c:v>
                </c:pt>
                <c:pt idx="91">
                  <c:v>-4.0217906994206079</c:v>
                </c:pt>
                <c:pt idx="92">
                  <c:v>-4.6257682385816112</c:v>
                </c:pt>
                <c:pt idx="93">
                  <c:v>-5.2297457777426146</c:v>
                </c:pt>
                <c:pt idx="94">
                  <c:v>-5.833723316903618</c:v>
                </c:pt>
                <c:pt idx="95">
                  <c:v>-6.4377008560646214</c:v>
                </c:pt>
                <c:pt idx="96">
                  <c:v>-7.0416783952256248</c:v>
                </c:pt>
                <c:pt idx="97">
                  <c:v>-7.6456559343866282</c:v>
                </c:pt>
                <c:pt idx="98">
                  <c:v>-8.2496334735476324</c:v>
                </c:pt>
                <c:pt idx="99">
                  <c:v>-8.8536110127086367</c:v>
                </c:pt>
                <c:pt idx="100">
                  <c:v>-9.457588551869641</c:v>
                </c:pt>
                <c:pt idx="101">
                  <c:v>-10.061566091030645</c:v>
                </c:pt>
                <c:pt idx="102">
                  <c:v>-10.66554363019165</c:v>
                </c:pt>
                <c:pt idx="103">
                  <c:v>-11.269521169352654</c:v>
                </c:pt>
                <c:pt idx="104">
                  <c:v>-11.873498708513658</c:v>
                </c:pt>
                <c:pt idx="105">
                  <c:v>-12.477476247674662</c:v>
                </c:pt>
                <c:pt idx="106">
                  <c:v>-13.081453786835667</c:v>
                </c:pt>
                <c:pt idx="107">
                  <c:v>-13.685431325996671</c:v>
                </c:pt>
                <c:pt idx="108">
                  <c:v>-14.289408865157675</c:v>
                </c:pt>
                <c:pt idx="109">
                  <c:v>-14.893386404318679</c:v>
                </c:pt>
                <c:pt idx="110">
                  <c:v>-15.497363943479684</c:v>
                </c:pt>
                <c:pt idx="111">
                  <c:v>-16.101341482640688</c:v>
                </c:pt>
                <c:pt idx="112">
                  <c:v>-16.705319021801692</c:v>
                </c:pt>
                <c:pt idx="113">
                  <c:v>-17.309296560962697</c:v>
                </c:pt>
                <c:pt idx="114">
                  <c:v>-17.913274100123701</c:v>
                </c:pt>
                <c:pt idx="115">
                  <c:v>-18.517251639284705</c:v>
                </c:pt>
                <c:pt idx="116">
                  <c:v>-19.121229178445709</c:v>
                </c:pt>
                <c:pt idx="117">
                  <c:v>-19.725206717606714</c:v>
                </c:pt>
                <c:pt idx="118">
                  <c:v>-20.329184256767718</c:v>
                </c:pt>
                <c:pt idx="119">
                  <c:v>-20.933161795928722</c:v>
                </c:pt>
                <c:pt idx="120">
                  <c:v>-21.537139335089726</c:v>
                </c:pt>
                <c:pt idx="121">
                  <c:v>-22.141116874250731</c:v>
                </c:pt>
                <c:pt idx="122">
                  <c:v>-22.745094413411735</c:v>
                </c:pt>
                <c:pt idx="123">
                  <c:v>-23.349071952572739</c:v>
                </c:pt>
                <c:pt idx="124">
                  <c:v>-23.953049491733744</c:v>
                </c:pt>
                <c:pt idx="125">
                  <c:v>-24.557027030894748</c:v>
                </c:pt>
                <c:pt idx="126">
                  <c:v>-25.161004570055752</c:v>
                </c:pt>
                <c:pt idx="127">
                  <c:v>-25.764982109216756</c:v>
                </c:pt>
                <c:pt idx="128">
                  <c:v>-26.368959648377761</c:v>
                </c:pt>
                <c:pt idx="129">
                  <c:v>-26.972937187538765</c:v>
                </c:pt>
                <c:pt idx="130">
                  <c:v>-27.576914726699769</c:v>
                </c:pt>
                <c:pt idx="131">
                  <c:v>-28.180892265860773</c:v>
                </c:pt>
                <c:pt idx="132">
                  <c:v>-28.784869805021778</c:v>
                </c:pt>
                <c:pt idx="133">
                  <c:v>-29.388847344182782</c:v>
                </c:pt>
                <c:pt idx="134">
                  <c:v>-29.992824883343786</c:v>
                </c:pt>
                <c:pt idx="135">
                  <c:v>-30.596802422504791</c:v>
                </c:pt>
                <c:pt idx="136">
                  <c:v>-31.200779961665795</c:v>
                </c:pt>
                <c:pt idx="137">
                  <c:v>-31.804757500826799</c:v>
                </c:pt>
                <c:pt idx="138">
                  <c:v>-32.408735039987803</c:v>
                </c:pt>
                <c:pt idx="139">
                  <c:v>-33.012712579148804</c:v>
                </c:pt>
                <c:pt idx="140">
                  <c:v>-33.616690118309805</c:v>
                </c:pt>
                <c:pt idx="141">
                  <c:v>-34.220667657470806</c:v>
                </c:pt>
                <c:pt idx="142">
                  <c:v>-34.824645196631806</c:v>
                </c:pt>
                <c:pt idx="143">
                  <c:v>-35.428622735792807</c:v>
                </c:pt>
                <c:pt idx="144">
                  <c:v>-36.032600274953808</c:v>
                </c:pt>
                <c:pt idx="145">
                  <c:v>-36.636577814114808</c:v>
                </c:pt>
                <c:pt idx="146">
                  <c:v>-37.240555353275809</c:v>
                </c:pt>
                <c:pt idx="147">
                  <c:v>-37.84453289243681</c:v>
                </c:pt>
                <c:pt idx="148">
                  <c:v>-38.448510431597811</c:v>
                </c:pt>
                <c:pt idx="149">
                  <c:v>-39.052487970758811</c:v>
                </c:pt>
                <c:pt idx="150">
                  <c:v>-39.656465509919812</c:v>
                </c:pt>
                <c:pt idx="151">
                  <c:v>-40.260443049080813</c:v>
                </c:pt>
                <c:pt idx="152">
                  <c:v>-40.864420588241813</c:v>
                </c:pt>
                <c:pt idx="153">
                  <c:v>-41.468398127402814</c:v>
                </c:pt>
                <c:pt idx="154">
                  <c:v>-42.072375666563815</c:v>
                </c:pt>
                <c:pt idx="155">
                  <c:v>-42.676353205724816</c:v>
                </c:pt>
                <c:pt idx="156">
                  <c:v>-43.280330744885816</c:v>
                </c:pt>
                <c:pt idx="157">
                  <c:v>-43.884308284046817</c:v>
                </c:pt>
                <c:pt idx="158">
                  <c:v>-44.488285823207818</c:v>
                </c:pt>
                <c:pt idx="159">
                  <c:v>-45.092263362368818</c:v>
                </c:pt>
                <c:pt idx="160">
                  <c:v>-45.696240901529819</c:v>
                </c:pt>
                <c:pt idx="161">
                  <c:v>-46.30021844069082</c:v>
                </c:pt>
                <c:pt idx="162">
                  <c:v>-46.904195979851821</c:v>
                </c:pt>
                <c:pt idx="163">
                  <c:v>-47.508173519012821</c:v>
                </c:pt>
                <c:pt idx="164">
                  <c:v>-48.112151058173822</c:v>
                </c:pt>
                <c:pt idx="165">
                  <c:v>-48.716128597334823</c:v>
                </c:pt>
                <c:pt idx="166">
                  <c:v>-49.320106136495824</c:v>
                </c:pt>
                <c:pt idx="167">
                  <c:v>-49.924083675656824</c:v>
                </c:pt>
                <c:pt idx="168">
                  <c:v>-50.528061214817825</c:v>
                </c:pt>
                <c:pt idx="169">
                  <c:v>-51.132038753978826</c:v>
                </c:pt>
                <c:pt idx="170">
                  <c:v>-51.736016293139826</c:v>
                </c:pt>
                <c:pt idx="171">
                  <c:v>-52.339993832300827</c:v>
                </c:pt>
                <c:pt idx="172">
                  <c:v>-52.943971371461828</c:v>
                </c:pt>
                <c:pt idx="173">
                  <c:v>-53.547948910622829</c:v>
                </c:pt>
                <c:pt idx="174">
                  <c:v>-54.151926449783829</c:v>
                </c:pt>
                <c:pt idx="175">
                  <c:v>-54.75590398894483</c:v>
                </c:pt>
                <c:pt idx="176">
                  <c:v>-55.359881528105831</c:v>
                </c:pt>
                <c:pt idx="177">
                  <c:v>-55.963859067266831</c:v>
                </c:pt>
                <c:pt idx="178">
                  <c:v>-56.567836606427832</c:v>
                </c:pt>
                <c:pt idx="179">
                  <c:v>-56.963480055293246</c:v>
                </c:pt>
                <c:pt idx="180">
                  <c:v>-56.963480055293246</c:v>
                </c:pt>
                <c:pt idx="181">
                  <c:v>-56.963480055293246</c:v>
                </c:pt>
                <c:pt idx="182">
                  <c:v>-56.963480055293246</c:v>
                </c:pt>
                <c:pt idx="183">
                  <c:v>-56.963480055293246</c:v>
                </c:pt>
                <c:pt idx="184">
                  <c:v>-56.963480055293246</c:v>
                </c:pt>
                <c:pt idx="185">
                  <c:v>-56.963480055293246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3D39-4440-9FF5-395D9AC8DD4F}"/>
            </c:ext>
          </c:extLst>
        </c:ser>
        <c:ser>
          <c:idx val="2"/>
          <c:order val="2"/>
          <c:tx>
            <c:v>lamda 2s</c:v>
          </c:tx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'Grafic global'!$W$5:$W$190</c:f>
              <c:numCache>
                <c:formatCode>0.00</c:formatCode>
                <c:ptCount val="186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-22.885468806229031</c:v>
                </c:pt>
                <c:pt idx="27">
                  <c:v>-16.406184010194131</c:v>
                </c:pt>
                <c:pt idx="28">
                  <c:v>-13.486069129212494</c:v>
                </c:pt>
                <c:pt idx="29">
                  <c:v>-11.284348273673679</c:v>
                </c:pt>
                <c:pt idx="30">
                  <c:v>-9.4623074146121695</c:v>
                </c:pt>
                <c:pt idx="31">
                  <c:v>-7.8870957404835424</c:v>
                </c:pt>
                <c:pt idx="32">
                  <c:v>-6.4899239064085226</c:v>
                </c:pt>
                <c:pt idx="33">
                  <c:v>-5.2295777361587312</c:v>
                </c:pt>
                <c:pt idx="34">
                  <c:v>-4.0789885024217973</c:v>
                </c:pt>
                <c:pt idx="35">
                  <c:v>-3.0192102593744594</c:v>
                </c:pt>
                <c:pt idx="36">
                  <c:v>-2.0363470369608656</c:v>
                </c:pt>
                <c:pt idx="37">
                  <c:v>-1.1198340983746573</c:v>
                </c:pt>
                <c:pt idx="38">
                  <c:v>-0.26140764673945971</c:v>
                </c:pt>
                <c:pt idx="39">
                  <c:v>0.54554718623209131</c:v>
                </c:pt>
                <c:pt idx="40">
                  <c:v>1.3064273827412474</c:v>
                </c:pt>
                <c:pt idx="41">
                  <c:v>2.0257074434145226</c:v>
                </c:pt>
                <c:pt idx="42">
                  <c:v>2.7071480424345071</c:v>
                </c:pt>
                <c:pt idx="43">
                  <c:v>3.353947247130884</c:v>
                </c:pt>
                <c:pt idx="44">
                  <c:v>3.9688525685367417</c:v>
                </c:pt>
                <c:pt idx="45">
                  <c:v>4.554245607508018</c:v>
                </c:pt>
                <c:pt idx="46">
                  <c:v>5.1122070936511905</c:v>
                </c:pt>
                <c:pt idx="47">
                  <c:v>5.644567616250991</c:v>
                </c:pt>
                <c:pt idx="48">
                  <c:v>6.1529477294801627</c:v>
                </c:pt>
                <c:pt idx="49">
                  <c:v>6.6387900416975993</c:v>
                </c:pt>
                <c:pt idx="50">
                  <c:v>7.1033851715954199</c:v>
                </c:pt>
                <c:pt idx="51">
                  <c:v>7.547892951326804</c:v>
                </c:pt>
                <c:pt idx="52">
                  <c:v>7.973359903060234</c:v>
                </c:pt>
                <c:pt idx="53">
                  <c:v>8.3807337624946125</c:v>
                </c:pt>
                <c:pt idx="54">
                  <c:v>8.7708756393490592</c:v>
                </c:pt>
                <c:pt idx="55">
                  <c:v>9.1445702698725988</c:v>
                </c:pt>
                <c:pt idx="56">
                  <c:v>9.5025347159238081</c:v>
                </c:pt>
                <c:pt idx="57">
                  <c:v>9.8454257894869901</c:v>
                </c:pt>
                <c:pt idx="58">
                  <c:v>10.173846423888362</c:v>
                </c:pt>
                <c:pt idx="59">
                  <c:v>10.488351168702691</c:v>
                </c:pt>
                <c:pt idx="60">
                  <c:v>10.789450951001374</c:v>
                </c:pt>
                <c:pt idx="61">
                  <c:v>11.077617218729445</c:v>
                </c:pt>
                <c:pt idx="62">
                  <c:v>11.353285560816838</c:v>
                </c:pt>
                <c:pt idx="63">
                  <c:v>11.616858881800276</c:v>
                </c:pt>
                <c:pt idx="64">
                  <c:v>11.868710195268394</c:v>
                </c:pt>
                <c:pt idx="65">
                  <c:v>12.109185089597657</c:v>
                </c:pt>
                <c:pt idx="66">
                  <c:v>12.338603910658458</c:v>
                </c:pt>
                <c:pt idx="67">
                  <c:v>12.557263699003688</c:v>
                </c:pt>
                <c:pt idx="68">
                  <c:v>12.765439913177573</c:v>
                </c:pt>
                <c:pt idx="69">
                  <c:v>12.963387965936954</c:v>
                </c:pt>
                <c:pt idx="70">
                  <c:v>13.151344596164797</c:v>
                </c:pt>
                <c:pt idx="71">
                  <c:v>13.329529095911559</c:v>
                </c:pt>
                <c:pt idx="72">
                  <c:v>13.49814440920305</c:v>
                </c:pt>
                <c:pt idx="73">
                  <c:v>13.657378116902221</c:v>
                </c:pt>
                <c:pt idx="74">
                  <c:v>13.80740331992534</c:v>
                </c:pt>
                <c:pt idx="75">
                  <c:v>13.948379431428826</c:v>
                </c:pt>
                <c:pt idx="76">
                  <c:v>14.080452887146986</c:v>
                </c:pt>
                <c:pt idx="77">
                  <c:v>14.203757781832161</c:v>
                </c:pt>
                <c:pt idx="78">
                  <c:v>14.318416438691887</c:v>
                </c:pt>
                <c:pt idx="79">
                  <c:v>14.424539917805575</c:v>
                </c:pt>
                <c:pt idx="80">
                  <c:v>14.522228468710187</c:v>
                </c:pt>
                <c:pt idx="81">
                  <c:v>14.61157193165338</c:v>
                </c:pt>
                <c:pt idx="82">
                  <c:v>14.69265009140608</c:v>
                </c:pt>
                <c:pt idx="83">
                  <c:v>14.765532986990678</c:v>
                </c:pt>
                <c:pt idx="84">
                  <c:v>14.830281180205869</c:v>
                </c:pt>
                <c:pt idx="85">
                  <c:v>14.886945985402775</c:v>
                </c:pt>
                <c:pt idx="86">
                  <c:v>14.935569662583301</c:v>
                </c:pt>
                <c:pt idx="87">
                  <c:v>14.976185575541688</c:v>
                </c:pt>
                <c:pt idx="88">
                  <c:v>15.008818316448636</c:v>
                </c:pt>
                <c:pt idx="89">
                  <c:v>15.033483797978372</c:v>
                </c:pt>
                <c:pt idx="90">
                  <c:v>15.050189313797267</c:v>
                </c:pt>
                <c:pt idx="91">
                  <c:v>15.058933567964292</c:v>
                </c:pt>
                <c:pt idx="92">
                  <c:v>15.059706673534169</c:v>
                </c:pt>
                <c:pt idx="93">
                  <c:v>15.052490120398655</c:v>
                </c:pt>
                <c:pt idx="94">
                  <c:v>15.037256712148318</c:v>
                </c:pt>
                <c:pt idx="95">
                  <c:v>15.013970471479777</c:v>
                </c:pt>
                <c:pt idx="96">
                  <c:v>14.982586513410302</c:v>
                </c:pt>
                <c:pt idx="97">
                  <c:v>14.943050885287617</c:v>
                </c:pt>
                <c:pt idx="98">
                  <c:v>14.895300372292436</c:v>
                </c:pt>
                <c:pt idx="99">
                  <c:v>14.839262266823431</c:v>
                </c:pt>
                <c:pt idx="100">
                  <c:v>14.774854099818603</c:v>
                </c:pt>
                <c:pt idx="101">
                  <c:v>14.701983331703621</c:v>
                </c:pt>
                <c:pt idx="102">
                  <c:v>14.620547000253815</c:v>
                </c:pt>
                <c:pt idx="103">
                  <c:v>14.530431322210747</c:v>
                </c:pt>
                <c:pt idx="104">
                  <c:v>14.431511244992313</c:v>
                </c:pt>
                <c:pt idx="105">
                  <c:v>14.323649944270956</c:v>
                </c:pt>
                <c:pt idx="106">
                  <c:v>14.206698262553495</c:v>
                </c:pt>
                <c:pt idx="107">
                  <c:v>14.080494083164561</c:v>
                </c:pt>
                <c:pt idx="108">
                  <c:v>13.94486163319713</c:v>
                </c:pt>
                <c:pt idx="109">
                  <c:v>13.799610708026156</c:v>
                </c:pt>
                <c:pt idx="110">
                  <c:v>13.644535808861775</c:v>
                </c:pt>
                <c:pt idx="111">
                  <c:v>13.479415183515552</c:v>
                </c:pt>
                <c:pt idx="112">
                  <c:v>13.304009759031524</c:v>
                </c:pt>
                <c:pt idx="113">
                  <c:v>13.118061953046801</c:v>
                </c:pt>
                <c:pt idx="114">
                  <c:v>12.92129434864157</c:v>
                </c:pt>
                <c:pt idx="115">
                  <c:v>12.713408214945314</c:v>
                </c:pt>
                <c:pt idx="116">
                  <c:v>12.49408185280185</c:v>
                </c:pt>
                <c:pt idx="117">
                  <c:v>12.262968741253999</c:v>
                </c:pt>
                <c:pt idx="118">
                  <c:v>12.019695456357677</c:v>
                </c:pt>
                <c:pt idx="119">
                  <c:v>11.763859328706177</c:v>
                </c:pt>
                <c:pt idx="120">
                  <c:v>11.49502579982644</c:v>
                </c:pt>
                <c:pt idx="121">
                  <c:v>11.21272543002747</c:v>
                </c:pt>
                <c:pt idx="122">
                  <c:v>10.916450500984839</c:v>
                </c:pt>
                <c:pt idx="123">
                  <c:v>10.605651144881028</c:v>
                </c:pt>
                <c:pt idx="124">
                  <c:v>10.279730917691495</c:v>
                </c:pt>
                <c:pt idx="125">
                  <c:v>9.9380417164281933</c:v>
                </c:pt>
                <c:pt idx="126">
                  <c:v>9.5798779177846747</c:v>
                </c:pt>
                <c:pt idx="127">
                  <c:v>9.2044695872700135</c:v>
                </c:pt>
                <c:pt idx="128">
                  <c:v>8.8109745716867476</c:v>
                </c:pt>
                <c:pt idx="129">
                  <c:v>8.3984692411117958</c:v>
                </c:pt>
                <c:pt idx="130">
                  <c:v>7.9659375858101624</c:v>
                </c:pt>
                <c:pt idx="131">
                  <c:v>7.5122582937523292</c:v>
                </c:pt>
                <c:pt idx="132">
                  <c:v>7.0361893285432977</c:v>
                </c:pt>
                <c:pt idx="133">
                  <c:v>6.5363493854541099</c:v>
                </c:pt>
                <c:pt idx="134">
                  <c:v>6.0111954100863318</c:v>
                </c:pt>
                <c:pt idx="135">
                  <c:v>5.4589950981194502</c:v>
                </c:pt>
                <c:pt idx="136">
                  <c:v>4.8777929226500074</c:v>
                </c:pt>
                <c:pt idx="137">
                  <c:v>4.2653677072969947</c:v>
                </c:pt>
                <c:pt idx="138">
                  <c:v>3.6191789993659391</c:v>
                </c:pt>
                <c:pt idx="139">
                  <c:v>2.9362983710855186</c:v>
                </c:pt>
                <c:pt idx="140">
                  <c:v>2.2133200797312265</c:v>
                </c:pt>
                <c:pt idx="141">
                  <c:v>1.4462428966947094</c:v>
                </c:pt>
                <c:pt idx="142">
                  <c:v>0.63031075556812077</c:v>
                </c:pt>
                <c:pt idx="143">
                  <c:v>-0.24020694439888093</c:v>
                </c:pt>
                <c:pt idx="144">
                  <c:v>-1.1723261131048905</c:v>
                </c:pt>
                <c:pt idx="145">
                  <c:v>-2.1748010434059779</c:v>
                </c:pt>
                <c:pt idx="146">
                  <c:v>-3.2588091169800748</c:v>
                </c:pt>
                <c:pt idx="147">
                  <c:v>-4.4390316929192961</c:v>
                </c:pt>
                <c:pt idx="148">
                  <c:v>-5.7354552975296489</c:v>
                </c:pt>
                <c:pt idx="149">
                  <c:v>-7.1765878562059706</c:v>
                </c:pt>
                <c:pt idx="150">
                  <c:v>-8.8057531731831098</c:v>
                </c:pt>
                <c:pt idx="151">
                  <c:v>-10.695100107177311</c:v>
                </c:pt>
                <c:pt idx="152">
                  <c:v>-12.983558234535748</c:v>
                </c:pt>
                <c:pt idx="153">
                  <c:v>-16.023592994088766</c:v>
                </c:pt>
                <c:pt idx="154">
                  <c:v>-22.578403648658917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</c:numCache>
            </c:numRef>
          </c:xVal>
          <c:yVal>
            <c:numRef>
              <c:f>'Grafic global'!$M$5:$M$190</c:f>
              <c:numCache>
                <c:formatCode>0.00\°;[Red]0.00\°</c:formatCode>
                <c:ptCount val="186"/>
                <c:pt idx="0">
                  <c:v>50.236037975847395</c:v>
                </c:pt>
                <c:pt idx="1">
                  <c:v>50.236037975847395</c:v>
                </c:pt>
                <c:pt idx="2">
                  <c:v>49.732210285908657</c:v>
                </c:pt>
                <c:pt idx="3">
                  <c:v>49.128232746747656</c:v>
                </c:pt>
                <c:pt idx="4">
                  <c:v>48.524255207586656</c:v>
                </c:pt>
                <c:pt idx="5">
                  <c:v>47.920277668425655</c:v>
                </c:pt>
                <c:pt idx="6">
                  <c:v>47.316300129264654</c:v>
                </c:pt>
                <c:pt idx="7">
                  <c:v>46.712322590103653</c:v>
                </c:pt>
                <c:pt idx="8">
                  <c:v>46.108345050942653</c:v>
                </c:pt>
                <c:pt idx="9">
                  <c:v>45.504367511781652</c:v>
                </c:pt>
                <c:pt idx="10">
                  <c:v>44.900389972620651</c:v>
                </c:pt>
                <c:pt idx="11">
                  <c:v>44.296412433459651</c:v>
                </c:pt>
                <c:pt idx="12">
                  <c:v>43.69243489429865</c:v>
                </c:pt>
                <c:pt idx="13">
                  <c:v>43.088457355137649</c:v>
                </c:pt>
                <c:pt idx="14">
                  <c:v>42.484479815976648</c:v>
                </c:pt>
                <c:pt idx="15">
                  <c:v>41.880502276815648</c:v>
                </c:pt>
                <c:pt idx="16">
                  <c:v>41.276524737654647</c:v>
                </c:pt>
                <c:pt idx="17">
                  <c:v>40.672547198493646</c:v>
                </c:pt>
                <c:pt idx="18">
                  <c:v>40.068569659332645</c:v>
                </c:pt>
                <c:pt idx="19">
                  <c:v>39.464592120171645</c:v>
                </c:pt>
                <c:pt idx="20">
                  <c:v>38.860614581010644</c:v>
                </c:pt>
                <c:pt idx="21">
                  <c:v>38.256637041849643</c:v>
                </c:pt>
                <c:pt idx="22">
                  <c:v>37.652659502688643</c:v>
                </c:pt>
                <c:pt idx="23">
                  <c:v>37.048681963527642</c:v>
                </c:pt>
                <c:pt idx="24">
                  <c:v>36.444704424366641</c:v>
                </c:pt>
                <c:pt idx="25">
                  <c:v>35.84072688520564</c:v>
                </c:pt>
                <c:pt idx="26">
                  <c:v>35.23674934604464</c:v>
                </c:pt>
                <c:pt idx="27">
                  <c:v>34.632771806883639</c:v>
                </c:pt>
                <c:pt idx="28">
                  <c:v>34.028794267722638</c:v>
                </c:pt>
                <c:pt idx="29">
                  <c:v>33.424816728561638</c:v>
                </c:pt>
                <c:pt idx="30">
                  <c:v>32.820839189400637</c:v>
                </c:pt>
                <c:pt idx="31">
                  <c:v>32.216861650239636</c:v>
                </c:pt>
                <c:pt idx="32">
                  <c:v>31.612884111078632</c:v>
                </c:pt>
                <c:pt idx="33">
                  <c:v>31.008906571917628</c:v>
                </c:pt>
                <c:pt idx="34">
                  <c:v>30.404929032756623</c:v>
                </c:pt>
                <c:pt idx="35">
                  <c:v>29.800951493595619</c:v>
                </c:pt>
                <c:pt idx="36">
                  <c:v>29.196973954434615</c:v>
                </c:pt>
                <c:pt idx="37">
                  <c:v>28.59299641527361</c:v>
                </c:pt>
                <c:pt idx="38">
                  <c:v>27.989018876112606</c:v>
                </c:pt>
                <c:pt idx="39">
                  <c:v>27.385041336951602</c:v>
                </c:pt>
                <c:pt idx="40">
                  <c:v>26.781063797790598</c:v>
                </c:pt>
                <c:pt idx="41">
                  <c:v>26.177086258629593</c:v>
                </c:pt>
                <c:pt idx="42">
                  <c:v>25.573108719468589</c:v>
                </c:pt>
                <c:pt idx="43">
                  <c:v>24.969131180307585</c:v>
                </c:pt>
                <c:pt idx="44">
                  <c:v>24.365153641146581</c:v>
                </c:pt>
                <c:pt idx="45">
                  <c:v>23.761176101985576</c:v>
                </c:pt>
                <c:pt idx="46">
                  <c:v>23.157198562824572</c:v>
                </c:pt>
                <c:pt idx="47">
                  <c:v>22.553221023663568</c:v>
                </c:pt>
                <c:pt idx="48">
                  <c:v>21.949243484502563</c:v>
                </c:pt>
                <c:pt idx="49">
                  <c:v>21.345265945341559</c:v>
                </c:pt>
                <c:pt idx="50">
                  <c:v>20.741288406180555</c:v>
                </c:pt>
                <c:pt idx="51">
                  <c:v>20.137310867019551</c:v>
                </c:pt>
                <c:pt idx="52">
                  <c:v>19.533333327858546</c:v>
                </c:pt>
                <c:pt idx="53">
                  <c:v>18.929355788697542</c:v>
                </c:pt>
                <c:pt idx="54">
                  <c:v>18.325378249536538</c:v>
                </c:pt>
                <c:pt idx="55">
                  <c:v>17.721400710375534</c:v>
                </c:pt>
                <c:pt idx="56">
                  <c:v>17.117423171214529</c:v>
                </c:pt>
                <c:pt idx="57">
                  <c:v>16.513445632053525</c:v>
                </c:pt>
                <c:pt idx="58">
                  <c:v>15.909468092892521</c:v>
                </c:pt>
                <c:pt idx="59">
                  <c:v>15.305490553731516</c:v>
                </c:pt>
                <c:pt idx="60">
                  <c:v>14.701513014570512</c:v>
                </c:pt>
                <c:pt idx="61">
                  <c:v>14.097535475409508</c:v>
                </c:pt>
                <c:pt idx="62">
                  <c:v>13.493557936248504</c:v>
                </c:pt>
                <c:pt idx="63">
                  <c:v>12.889580397087499</c:v>
                </c:pt>
                <c:pt idx="64">
                  <c:v>12.285602857926495</c:v>
                </c:pt>
                <c:pt idx="65">
                  <c:v>11.681625318765491</c:v>
                </c:pt>
                <c:pt idx="66">
                  <c:v>11.077647779604487</c:v>
                </c:pt>
                <c:pt idx="67">
                  <c:v>10.473670240443482</c:v>
                </c:pt>
                <c:pt idx="68">
                  <c:v>9.869692701282478</c:v>
                </c:pt>
                <c:pt idx="69">
                  <c:v>9.2657151621214737</c:v>
                </c:pt>
                <c:pt idx="70">
                  <c:v>8.6617376229604695</c:v>
                </c:pt>
                <c:pt idx="71">
                  <c:v>8.0577600837994652</c:v>
                </c:pt>
                <c:pt idx="72">
                  <c:v>7.4537825446384618</c:v>
                </c:pt>
                <c:pt idx="73">
                  <c:v>6.8498050054774584</c:v>
                </c:pt>
                <c:pt idx="74">
                  <c:v>6.245827466316455</c:v>
                </c:pt>
                <c:pt idx="75">
                  <c:v>5.6418499271554516</c:v>
                </c:pt>
                <c:pt idx="76">
                  <c:v>5.0378723879944483</c:v>
                </c:pt>
                <c:pt idx="77">
                  <c:v>4.4338948488334449</c:v>
                </c:pt>
                <c:pt idx="78">
                  <c:v>3.829917309672441</c:v>
                </c:pt>
                <c:pt idx="79">
                  <c:v>3.2259397705114372</c:v>
                </c:pt>
                <c:pt idx="80">
                  <c:v>2.6219622313504334</c:v>
                </c:pt>
                <c:pt idx="81">
                  <c:v>2.0179846921894296</c:v>
                </c:pt>
                <c:pt idx="82">
                  <c:v>1.4140071530284257</c:v>
                </c:pt>
                <c:pt idx="83">
                  <c:v>0.810029613867422</c:v>
                </c:pt>
                <c:pt idx="84">
                  <c:v>0.20605207470641829</c:v>
                </c:pt>
                <c:pt idx="85">
                  <c:v>-0.39792546445458543</c:v>
                </c:pt>
                <c:pt idx="86">
                  <c:v>-1.0019030036155891</c:v>
                </c:pt>
                <c:pt idx="87">
                  <c:v>-1.605880542776593</c:v>
                </c:pt>
                <c:pt idx="88">
                  <c:v>-2.2098580819375968</c:v>
                </c:pt>
                <c:pt idx="89">
                  <c:v>-2.8138356210986006</c:v>
                </c:pt>
                <c:pt idx="90">
                  <c:v>-3.4178131602596045</c:v>
                </c:pt>
                <c:pt idx="91">
                  <c:v>-4.0217906994206079</c:v>
                </c:pt>
                <c:pt idx="92">
                  <c:v>-4.6257682385816112</c:v>
                </c:pt>
                <c:pt idx="93">
                  <c:v>-5.2297457777426146</c:v>
                </c:pt>
                <c:pt idx="94">
                  <c:v>-5.833723316903618</c:v>
                </c:pt>
                <c:pt idx="95">
                  <c:v>-6.4377008560646214</c:v>
                </c:pt>
                <c:pt idx="96">
                  <c:v>-7.0416783952256248</c:v>
                </c:pt>
                <c:pt idx="97">
                  <c:v>-7.6456559343866282</c:v>
                </c:pt>
                <c:pt idx="98">
                  <c:v>-8.2496334735476324</c:v>
                </c:pt>
                <c:pt idx="99">
                  <c:v>-8.8536110127086367</c:v>
                </c:pt>
                <c:pt idx="100">
                  <c:v>-9.457588551869641</c:v>
                </c:pt>
                <c:pt idx="101">
                  <c:v>-10.061566091030645</c:v>
                </c:pt>
                <c:pt idx="102">
                  <c:v>-10.66554363019165</c:v>
                </c:pt>
                <c:pt idx="103">
                  <c:v>-11.269521169352654</c:v>
                </c:pt>
                <c:pt idx="104">
                  <c:v>-11.873498708513658</c:v>
                </c:pt>
                <c:pt idx="105">
                  <c:v>-12.477476247674662</c:v>
                </c:pt>
                <c:pt idx="106">
                  <c:v>-13.081453786835667</c:v>
                </c:pt>
                <c:pt idx="107">
                  <c:v>-13.685431325996671</c:v>
                </c:pt>
                <c:pt idx="108">
                  <c:v>-14.289408865157675</c:v>
                </c:pt>
                <c:pt idx="109">
                  <c:v>-14.893386404318679</c:v>
                </c:pt>
                <c:pt idx="110">
                  <c:v>-15.497363943479684</c:v>
                </c:pt>
                <c:pt idx="111">
                  <c:v>-16.101341482640688</c:v>
                </c:pt>
                <c:pt idx="112">
                  <c:v>-16.705319021801692</c:v>
                </c:pt>
                <c:pt idx="113">
                  <c:v>-17.309296560962697</c:v>
                </c:pt>
                <c:pt idx="114">
                  <c:v>-17.913274100123701</c:v>
                </c:pt>
                <c:pt idx="115">
                  <c:v>-18.517251639284705</c:v>
                </c:pt>
                <c:pt idx="116">
                  <c:v>-19.121229178445709</c:v>
                </c:pt>
                <c:pt idx="117">
                  <c:v>-19.725206717606714</c:v>
                </c:pt>
                <c:pt idx="118">
                  <c:v>-20.329184256767718</c:v>
                </c:pt>
                <c:pt idx="119">
                  <c:v>-20.933161795928722</c:v>
                </c:pt>
                <c:pt idx="120">
                  <c:v>-21.537139335089726</c:v>
                </c:pt>
                <c:pt idx="121">
                  <c:v>-22.141116874250731</c:v>
                </c:pt>
                <c:pt idx="122">
                  <c:v>-22.745094413411735</c:v>
                </c:pt>
                <c:pt idx="123">
                  <c:v>-23.349071952572739</c:v>
                </c:pt>
                <c:pt idx="124">
                  <c:v>-23.953049491733744</c:v>
                </c:pt>
                <c:pt idx="125">
                  <c:v>-24.557027030894748</c:v>
                </c:pt>
                <c:pt idx="126">
                  <c:v>-25.161004570055752</c:v>
                </c:pt>
                <c:pt idx="127">
                  <c:v>-25.764982109216756</c:v>
                </c:pt>
                <c:pt idx="128">
                  <c:v>-26.368959648377761</c:v>
                </c:pt>
                <c:pt idx="129">
                  <c:v>-26.972937187538765</c:v>
                </c:pt>
                <c:pt idx="130">
                  <c:v>-27.576914726699769</c:v>
                </c:pt>
                <c:pt idx="131">
                  <c:v>-28.180892265860773</c:v>
                </c:pt>
                <c:pt idx="132">
                  <c:v>-28.784869805021778</c:v>
                </c:pt>
                <c:pt idx="133">
                  <c:v>-29.388847344182782</c:v>
                </c:pt>
                <c:pt idx="134">
                  <c:v>-29.992824883343786</c:v>
                </c:pt>
                <c:pt idx="135">
                  <c:v>-30.596802422504791</c:v>
                </c:pt>
                <c:pt idx="136">
                  <c:v>-31.200779961665795</c:v>
                </c:pt>
                <c:pt idx="137">
                  <c:v>-31.804757500826799</c:v>
                </c:pt>
                <c:pt idx="138">
                  <c:v>-32.408735039987803</c:v>
                </c:pt>
                <c:pt idx="139">
                  <c:v>-33.012712579148804</c:v>
                </c:pt>
                <c:pt idx="140">
                  <c:v>-33.616690118309805</c:v>
                </c:pt>
                <c:pt idx="141">
                  <c:v>-34.220667657470806</c:v>
                </c:pt>
                <c:pt idx="142">
                  <c:v>-34.824645196631806</c:v>
                </c:pt>
                <c:pt idx="143">
                  <c:v>-35.428622735792807</c:v>
                </c:pt>
                <c:pt idx="144">
                  <c:v>-36.032600274953808</c:v>
                </c:pt>
                <c:pt idx="145">
                  <c:v>-36.636577814114808</c:v>
                </c:pt>
                <c:pt idx="146">
                  <c:v>-37.240555353275809</c:v>
                </c:pt>
                <c:pt idx="147">
                  <c:v>-37.84453289243681</c:v>
                </c:pt>
                <c:pt idx="148">
                  <c:v>-38.448510431597811</c:v>
                </c:pt>
                <c:pt idx="149">
                  <c:v>-39.052487970758811</c:v>
                </c:pt>
                <c:pt idx="150">
                  <c:v>-39.656465509919812</c:v>
                </c:pt>
                <c:pt idx="151">
                  <c:v>-40.260443049080813</c:v>
                </c:pt>
                <c:pt idx="152">
                  <c:v>-40.864420588241813</c:v>
                </c:pt>
                <c:pt idx="153">
                  <c:v>-41.468398127402814</c:v>
                </c:pt>
                <c:pt idx="154">
                  <c:v>-42.072375666563815</c:v>
                </c:pt>
                <c:pt idx="155">
                  <c:v>-42.676353205724816</c:v>
                </c:pt>
                <c:pt idx="156">
                  <c:v>-43.280330744885816</c:v>
                </c:pt>
                <c:pt idx="157">
                  <c:v>-43.884308284046817</c:v>
                </c:pt>
                <c:pt idx="158">
                  <c:v>-44.488285823207818</c:v>
                </c:pt>
                <c:pt idx="159">
                  <c:v>-45.092263362368818</c:v>
                </c:pt>
                <c:pt idx="160">
                  <c:v>-45.696240901529819</c:v>
                </c:pt>
                <c:pt idx="161">
                  <c:v>-46.30021844069082</c:v>
                </c:pt>
                <c:pt idx="162">
                  <c:v>-46.904195979851821</c:v>
                </c:pt>
                <c:pt idx="163">
                  <c:v>-47.508173519012821</c:v>
                </c:pt>
                <c:pt idx="164">
                  <c:v>-48.112151058173822</c:v>
                </c:pt>
                <c:pt idx="165">
                  <c:v>-48.716128597334823</c:v>
                </c:pt>
                <c:pt idx="166">
                  <c:v>-49.320106136495824</c:v>
                </c:pt>
                <c:pt idx="167">
                  <c:v>-49.924083675656824</c:v>
                </c:pt>
                <c:pt idx="168">
                  <c:v>-50.528061214817825</c:v>
                </c:pt>
                <c:pt idx="169">
                  <c:v>-51.132038753978826</c:v>
                </c:pt>
                <c:pt idx="170">
                  <c:v>-51.736016293139826</c:v>
                </c:pt>
                <c:pt idx="171">
                  <c:v>-52.339993832300827</c:v>
                </c:pt>
                <c:pt idx="172">
                  <c:v>-52.943971371461828</c:v>
                </c:pt>
                <c:pt idx="173">
                  <c:v>-53.547948910622829</c:v>
                </c:pt>
                <c:pt idx="174">
                  <c:v>-54.151926449783829</c:v>
                </c:pt>
                <c:pt idx="175">
                  <c:v>-54.75590398894483</c:v>
                </c:pt>
                <c:pt idx="176">
                  <c:v>-55.359881528105831</c:v>
                </c:pt>
                <c:pt idx="177">
                  <c:v>-55.963859067266831</c:v>
                </c:pt>
                <c:pt idx="178">
                  <c:v>-56.567836606427832</c:v>
                </c:pt>
                <c:pt idx="179">
                  <c:v>-56.963480055293246</c:v>
                </c:pt>
                <c:pt idx="180">
                  <c:v>-56.963480055293246</c:v>
                </c:pt>
                <c:pt idx="181">
                  <c:v>-56.963480055293246</c:v>
                </c:pt>
                <c:pt idx="182">
                  <c:v>-56.963480055293246</c:v>
                </c:pt>
                <c:pt idx="183">
                  <c:v>-56.963480055293246</c:v>
                </c:pt>
                <c:pt idx="184">
                  <c:v>-56.963480055293246</c:v>
                </c:pt>
                <c:pt idx="185">
                  <c:v>-56.963480055293246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3D39-4440-9FF5-395D9AC8DD4F}"/>
            </c:ext>
          </c:extLst>
        </c:ser>
        <c:ser>
          <c:idx val="3"/>
          <c:order val="3"/>
          <c:tx>
            <c:v>lamda 2</c:v>
          </c:tx>
          <c:spPr>
            <a:ln w="22225" cap="rnd">
              <a:solidFill>
                <a:srgbClr val="FFA1A3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'Grafic global'!$V$5:$V$190</c:f>
              <c:numCache>
                <c:formatCode>0.00</c:formatCode>
                <c:ptCount val="186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-24.486672197161361</c:v>
                </c:pt>
                <c:pt idx="27">
                  <c:v>-30.965956993196258</c:v>
                </c:pt>
                <c:pt idx="28">
                  <c:v>-33.886071874177901</c:v>
                </c:pt>
                <c:pt idx="29">
                  <c:v>-36.08779272971671</c:v>
                </c:pt>
                <c:pt idx="30">
                  <c:v>-37.909833588778227</c:v>
                </c:pt>
                <c:pt idx="31">
                  <c:v>-39.485045262906851</c:v>
                </c:pt>
                <c:pt idx="32">
                  <c:v>-40.882217096981869</c:v>
                </c:pt>
                <c:pt idx="33">
                  <c:v>-42.142563267231658</c:v>
                </c:pt>
                <c:pt idx="34">
                  <c:v>-43.293152500968596</c:v>
                </c:pt>
                <c:pt idx="35">
                  <c:v>-44.352930744015936</c:v>
                </c:pt>
                <c:pt idx="36">
                  <c:v>-45.335793966429527</c:v>
                </c:pt>
                <c:pt idx="37">
                  <c:v>-46.252306905015736</c:v>
                </c:pt>
                <c:pt idx="38">
                  <c:v>-47.110733356650933</c:v>
                </c:pt>
                <c:pt idx="39">
                  <c:v>-47.917688189622481</c:v>
                </c:pt>
                <c:pt idx="40">
                  <c:v>-48.678568386131637</c:v>
                </c:pt>
                <c:pt idx="41">
                  <c:v>-49.397848446804915</c:v>
                </c:pt>
                <c:pt idx="42">
                  <c:v>-50.0792890458249</c:v>
                </c:pt>
                <c:pt idx="43">
                  <c:v>-50.726088250521279</c:v>
                </c:pt>
                <c:pt idx="44">
                  <c:v>-51.340993571927136</c:v>
                </c:pt>
                <c:pt idx="45">
                  <c:v>-51.926386610898412</c:v>
                </c:pt>
                <c:pt idx="46">
                  <c:v>-52.484348097041583</c:v>
                </c:pt>
                <c:pt idx="47">
                  <c:v>-53.016708619641385</c:v>
                </c:pt>
                <c:pt idx="48">
                  <c:v>-53.525088732870557</c:v>
                </c:pt>
                <c:pt idx="49">
                  <c:v>-54.010931045087993</c:v>
                </c:pt>
                <c:pt idx="50">
                  <c:v>-54.475526174985809</c:v>
                </c:pt>
                <c:pt idx="51">
                  <c:v>-54.920033954717198</c:v>
                </c:pt>
                <c:pt idx="52">
                  <c:v>-55.345500906450624</c:v>
                </c:pt>
                <c:pt idx="53">
                  <c:v>-55.752874765885004</c:v>
                </c:pt>
                <c:pt idx="54">
                  <c:v>-56.143016642739454</c:v>
                </c:pt>
                <c:pt idx="55">
                  <c:v>-56.516711273262992</c:v>
                </c:pt>
                <c:pt idx="56">
                  <c:v>-56.874675719314205</c:v>
                </c:pt>
                <c:pt idx="57">
                  <c:v>-57.217566792877385</c:v>
                </c:pt>
                <c:pt idx="58">
                  <c:v>-57.54598742727876</c:v>
                </c:pt>
                <c:pt idx="59">
                  <c:v>-57.860492172093082</c:v>
                </c:pt>
                <c:pt idx="60">
                  <c:v>-58.161591954391767</c:v>
                </c:pt>
                <c:pt idx="61">
                  <c:v>-58.44975822211984</c:v>
                </c:pt>
                <c:pt idx="62">
                  <c:v>-58.72542656420724</c:v>
                </c:pt>
                <c:pt idx="63">
                  <c:v>-58.988999885190665</c:v>
                </c:pt>
                <c:pt idx="64">
                  <c:v>-59.240851198658781</c:v>
                </c:pt>
                <c:pt idx="65">
                  <c:v>-59.481326092988049</c:v>
                </c:pt>
                <c:pt idx="66">
                  <c:v>-59.710744914048853</c:v>
                </c:pt>
                <c:pt idx="67">
                  <c:v>-59.929404702394073</c:v>
                </c:pt>
                <c:pt idx="68">
                  <c:v>-60.13758091656797</c:v>
                </c:pt>
                <c:pt idx="69">
                  <c:v>-60.335528969327349</c:v>
                </c:pt>
                <c:pt idx="70">
                  <c:v>-60.52348559955518</c:v>
                </c:pt>
                <c:pt idx="71">
                  <c:v>-60.701670099301957</c:v>
                </c:pt>
                <c:pt idx="72">
                  <c:v>-60.870285412593446</c:v>
                </c:pt>
                <c:pt idx="73">
                  <c:v>-61.029519120292612</c:v>
                </c:pt>
                <c:pt idx="74">
                  <c:v>-61.179544323315739</c:v>
                </c:pt>
                <c:pt idx="75">
                  <c:v>-61.320520434819223</c:v>
                </c:pt>
                <c:pt idx="76">
                  <c:v>-61.452593890537379</c:v>
                </c:pt>
                <c:pt idx="77">
                  <c:v>-61.575898785222556</c:v>
                </c:pt>
                <c:pt idx="78">
                  <c:v>-61.690557442082287</c:v>
                </c:pt>
                <c:pt idx="79">
                  <c:v>-61.796680921195957</c:v>
                </c:pt>
                <c:pt idx="80">
                  <c:v>-61.894369472100585</c:v>
                </c:pt>
                <c:pt idx="81">
                  <c:v>-61.983712935043776</c:v>
                </c:pt>
                <c:pt idx="82">
                  <c:v>-62.064791094796476</c:v>
                </c:pt>
                <c:pt idx="83">
                  <c:v>-62.137673990381074</c:v>
                </c:pt>
                <c:pt idx="84">
                  <c:v>-62.202422183596255</c:v>
                </c:pt>
                <c:pt idx="85">
                  <c:v>-62.259086988793172</c:v>
                </c:pt>
                <c:pt idx="86">
                  <c:v>-62.307710665973694</c:v>
                </c:pt>
                <c:pt idx="87">
                  <c:v>-62.348326578932081</c:v>
                </c:pt>
                <c:pt idx="88">
                  <c:v>-62.380959319839036</c:v>
                </c:pt>
                <c:pt idx="89">
                  <c:v>-62.405624801368766</c:v>
                </c:pt>
                <c:pt idx="90">
                  <c:v>-62.422330317187658</c:v>
                </c:pt>
                <c:pt idx="91">
                  <c:v>-62.431074571354685</c:v>
                </c:pt>
                <c:pt idx="92">
                  <c:v>-62.431847676924562</c:v>
                </c:pt>
                <c:pt idx="93">
                  <c:v>-62.424631123789048</c:v>
                </c:pt>
                <c:pt idx="94">
                  <c:v>-62.409397715538717</c:v>
                </c:pt>
                <c:pt idx="95">
                  <c:v>-62.386111474870177</c:v>
                </c:pt>
                <c:pt idx="96">
                  <c:v>-62.3547275168007</c:v>
                </c:pt>
                <c:pt idx="97">
                  <c:v>-62.315191888678001</c:v>
                </c:pt>
                <c:pt idx="98">
                  <c:v>-62.267441375682822</c:v>
                </c:pt>
                <c:pt idx="99">
                  <c:v>-62.211403270213815</c:v>
                </c:pt>
                <c:pt idx="100">
                  <c:v>-62.146995103209001</c:v>
                </c:pt>
                <c:pt idx="101">
                  <c:v>-62.074124335094005</c:v>
                </c:pt>
                <c:pt idx="102">
                  <c:v>-61.992688003644204</c:v>
                </c:pt>
                <c:pt idx="103">
                  <c:v>-61.902572325601142</c:v>
                </c:pt>
                <c:pt idx="104">
                  <c:v>-61.803652248382704</c:v>
                </c:pt>
                <c:pt idx="105">
                  <c:v>-61.695790947661358</c:v>
                </c:pt>
                <c:pt idx="106">
                  <c:v>-61.578839265943884</c:v>
                </c:pt>
                <c:pt idx="107">
                  <c:v>-61.452635086554963</c:v>
                </c:pt>
                <c:pt idx="108">
                  <c:v>-61.317002636587517</c:v>
                </c:pt>
                <c:pt idx="109">
                  <c:v>-61.171751711416547</c:v>
                </c:pt>
                <c:pt idx="110">
                  <c:v>-61.016676812252172</c:v>
                </c:pt>
                <c:pt idx="111">
                  <c:v>-60.851556186905945</c:v>
                </c:pt>
                <c:pt idx="112">
                  <c:v>-60.676150762421919</c:v>
                </c:pt>
                <c:pt idx="113">
                  <c:v>-60.490202956437194</c:v>
                </c:pt>
                <c:pt idx="114">
                  <c:v>-60.29343535203197</c:v>
                </c:pt>
                <c:pt idx="115">
                  <c:v>-60.0855492183357</c:v>
                </c:pt>
                <c:pt idx="116">
                  <c:v>-59.866222856192245</c:v>
                </c:pt>
                <c:pt idx="117">
                  <c:v>-59.635109744644389</c:v>
                </c:pt>
                <c:pt idx="118">
                  <c:v>-59.391836459748063</c:v>
                </c:pt>
                <c:pt idx="119">
                  <c:v>-59.136000332096572</c:v>
                </c:pt>
                <c:pt idx="120">
                  <c:v>-58.86716680321684</c:v>
                </c:pt>
                <c:pt idx="121">
                  <c:v>-58.584866433417865</c:v>
                </c:pt>
                <c:pt idx="122">
                  <c:v>-58.288591504375226</c:v>
                </c:pt>
                <c:pt idx="123">
                  <c:v>-57.977792148271419</c:v>
                </c:pt>
                <c:pt idx="124">
                  <c:v>-57.651871921081892</c:v>
                </c:pt>
                <c:pt idx="125">
                  <c:v>-57.310182719818584</c:v>
                </c:pt>
                <c:pt idx="126">
                  <c:v>-56.952018921175068</c:v>
                </c:pt>
                <c:pt idx="127">
                  <c:v>-56.576610590660408</c:v>
                </c:pt>
                <c:pt idx="128">
                  <c:v>-56.183115575077139</c:v>
                </c:pt>
                <c:pt idx="129">
                  <c:v>-55.770610244502187</c:v>
                </c:pt>
                <c:pt idx="130">
                  <c:v>-55.338078589200556</c:v>
                </c:pt>
                <c:pt idx="131">
                  <c:v>-54.884399297142721</c:v>
                </c:pt>
                <c:pt idx="132">
                  <c:v>-54.408330331933691</c:v>
                </c:pt>
                <c:pt idx="133">
                  <c:v>-53.908490388844506</c:v>
                </c:pt>
                <c:pt idx="134">
                  <c:v>-53.383336413476727</c:v>
                </c:pt>
                <c:pt idx="135">
                  <c:v>-52.831136101509841</c:v>
                </c:pt>
                <c:pt idx="136">
                  <c:v>-52.249933926040399</c:v>
                </c:pt>
                <c:pt idx="137">
                  <c:v>-51.637508710687385</c:v>
                </c:pt>
                <c:pt idx="138">
                  <c:v>-50.991320002756332</c:v>
                </c:pt>
                <c:pt idx="139">
                  <c:v>-50.30843937447591</c:v>
                </c:pt>
                <c:pt idx="140">
                  <c:v>-49.585461083121622</c:v>
                </c:pt>
                <c:pt idx="141">
                  <c:v>-48.818383900085102</c:v>
                </c:pt>
                <c:pt idx="142">
                  <c:v>-48.002451758958514</c:v>
                </c:pt>
                <c:pt idx="143">
                  <c:v>-47.131934058991511</c:v>
                </c:pt>
                <c:pt idx="144">
                  <c:v>-46.199814890285502</c:v>
                </c:pt>
                <c:pt idx="145">
                  <c:v>-45.197339959984411</c:v>
                </c:pt>
                <c:pt idx="146">
                  <c:v>-44.113331886410315</c:v>
                </c:pt>
                <c:pt idx="147">
                  <c:v>-42.933109310471096</c:v>
                </c:pt>
                <c:pt idx="148">
                  <c:v>-41.636685705860742</c:v>
                </c:pt>
                <c:pt idx="149">
                  <c:v>-40.19555314718442</c:v>
                </c:pt>
                <c:pt idx="150">
                  <c:v>-38.566387830207283</c:v>
                </c:pt>
                <c:pt idx="151">
                  <c:v>-36.677040896213079</c:v>
                </c:pt>
                <c:pt idx="152">
                  <c:v>-34.388582768854647</c:v>
                </c:pt>
                <c:pt idx="153">
                  <c:v>-31.348548009301627</c:v>
                </c:pt>
                <c:pt idx="154">
                  <c:v>-24.793737354731476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</c:numCache>
            </c:numRef>
          </c:xVal>
          <c:yVal>
            <c:numRef>
              <c:f>'Grafic global'!$M$5:$M$190</c:f>
              <c:numCache>
                <c:formatCode>0.00\°;[Red]0.00\°</c:formatCode>
                <c:ptCount val="186"/>
                <c:pt idx="0">
                  <c:v>50.236037975847395</c:v>
                </c:pt>
                <c:pt idx="1">
                  <c:v>50.236037975847395</c:v>
                </c:pt>
                <c:pt idx="2">
                  <c:v>49.732210285908657</c:v>
                </c:pt>
                <c:pt idx="3">
                  <c:v>49.128232746747656</c:v>
                </c:pt>
                <c:pt idx="4">
                  <c:v>48.524255207586656</c:v>
                </c:pt>
                <c:pt idx="5">
                  <c:v>47.920277668425655</c:v>
                </c:pt>
                <c:pt idx="6">
                  <c:v>47.316300129264654</c:v>
                </c:pt>
                <c:pt idx="7">
                  <c:v>46.712322590103653</c:v>
                </c:pt>
                <c:pt idx="8">
                  <c:v>46.108345050942653</c:v>
                </c:pt>
                <c:pt idx="9">
                  <c:v>45.504367511781652</c:v>
                </c:pt>
                <c:pt idx="10">
                  <c:v>44.900389972620651</c:v>
                </c:pt>
                <c:pt idx="11">
                  <c:v>44.296412433459651</c:v>
                </c:pt>
                <c:pt idx="12">
                  <c:v>43.69243489429865</c:v>
                </c:pt>
                <c:pt idx="13">
                  <c:v>43.088457355137649</c:v>
                </c:pt>
                <c:pt idx="14">
                  <c:v>42.484479815976648</c:v>
                </c:pt>
                <c:pt idx="15">
                  <c:v>41.880502276815648</c:v>
                </c:pt>
                <c:pt idx="16">
                  <c:v>41.276524737654647</c:v>
                </c:pt>
                <c:pt idx="17">
                  <c:v>40.672547198493646</c:v>
                </c:pt>
                <c:pt idx="18">
                  <c:v>40.068569659332645</c:v>
                </c:pt>
                <c:pt idx="19">
                  <c:v>39.464592120171645</c:v>
                </c:pt>
                <c:pt idx="20">
                  <c:v>38.860614581010644</c:v>
                </c:pt>
                <c:pt idx="21">
                  <c:v>38.256637041849643</c:v>
                </c:pt>
                <c:pt idx="22">
                  <c:v>37.652659502688643</c:v>
                </c:pt>
                <c:pt idx="23">
                  <c:v>37.048681963527642</c:v>
                </c:pt>
                <c:pt idx="24">
                  <c:v>36.444704424366641</c:v>
                </c:pt>
                <c:pt idx="25">
                  <c:v>35.84072688520564</c:v>
                </c:pt>
                <c:pt idx="26">
                  <c:v>35.23674934604464</c:v>
                </c:pt>
                <c:pt idx="27">
                  <c:v>34.632771806883639</c:v>
                </c:pt>
                <c:pt idx="28">
                  <c:v>34.028794267722638</c:v>
                </c:pt>
                <c:pt idx="29">
                  <c:v>33.424816728561638</c:v>
                </c:pt>
                <c:pt idx="30">
                  <c:v>32.820839189400637</c:v>
                </c:pt>
                <c:pt idx="31">
                  <c:v>32.216861650239636</c:v>
                </c:pt>
                <c:pt idx="32">
                  <c:v>31.612884111078632</c:v>
                </c:pt>
                <c:pt idx="33">
                  <c:v>31.008906571917628</c:v>
                </c:pt>
                <c:pt idx="34">
                  <c:v>30.404929032756623</c:v>
                </c:pt>
                <c:pt idx="35">
                  <c:v>29.800951493595619</c:v>
                </c:pt>
                <c:pt idx="36">
                  <c:v>29.196973954434615</c:v>
                </c:pt>
                <c:pt idx="37">
                  <c:v>28.59299641527361</c:v>
                </c:pt>
                <c:pt idx="38">
                  <c:v>27.989018876112606</c:v>
                </c:pt>
                <c:pt idx="39">
                  <c:v>27.385041336951602</c:v>
                </c:pt>
                <c:pt idx="40">
                  <c:v>26.781063797790598</c:v>
                </c:pt>
                <c:pt idx="41">
                  <c:v>26.177086258629593</c:v>
                </c:pt>
                <c:pt idx="42">
                  <c:v>25.573108719468589</c:v>
                </c:pt>
                <c:pt idx="43">
                  <c:v>24.969131180307585</c:v>
                </c:pt>
                <c:pt idx="44">
                  <c:v>24.365153641146581</c:v>
                </c:pt>
                <c:pt idx="45">
                  <c:v>23.761176101985576</c:v>
                </c:pt>
                <c:pt idx="46">
                  <c:v>23.157198562824572</c:v>
                </c:pt>
                <c:pt idx="47">
                  <c:v>22.553221023663568</c:v>
                </c:pt>
                <c:pt idx="48">
                  <c:v>21.949243484502563</c:v>
                </c:pt>
                <c:pt idx="49">
                  <c:v>21.345265945341559</c:v>
                </c:pt>
                <c:pt idx="50">
                  <c:v>20.741288406180555</c:v>
                </c:pt>
                <c:pt idx="51">
                  <c:v>20.137310867019551</c:v>
                </c:pt>
                <c:pt idx="52">
                  <c:v>19.533333327858546</c:v>
                </c:pt>
                <c:pt idx="53">
                  <c:v>18.929355788697542</c:v>
                </c:pt>
                <c:pt idx="54">
                  <c:v>18.325378249536538</c:v>
                </c:pt>
                <c:pt idx="55">
                  <c:v>17.721400710375534</c:v>
                </c:pt>
                <c:pt idx="56">
                  <c:v>17.117423171214529</c:v>
                </c:pt>
                <c:pt idx="57">
                  <c:v>16.513445632053525</c:v>
                </c:pt>
                <c:pt idx="58">
                  <c:v>15.909468092892521</c:v>
                </c:pt>
                <c:pt idx="59">
                  <c:v>15.305490553731516</c:v>
                </c:pt>
                <c:pt idx="60">
                  <c:v>14.701513014570512</c:v>
                </c:pt>
                <c:pt idx="61">
                  <c:v>14.097535475409508</c:v>
                </c:pt>
                <c:pt idx="62">
                  <c:v>13.493557936248504</c:v>
                </c:pt>
                <c:pt idx="63">
                  <c:v>12.889580397087499</c:v>
                </c:pt>
                <c:pt idx="64">
                  <c:v>12.285602857926495</c:v>
                </c:pt>
                <c:pt idx="65">
                  <c:v>11.681625318765491</c:v>
                </c:pt>
                <c:pt idx="66">
                  <c:v>11.077647779604487</c:v>
                </c:pt>
                <c:pt idx="67">
                  <c:v>10.473670240443482</c:v>
                </c:pt>
                <c:pt idx="68">
                  <c:v>9.869692701282478</c:v>
                </c:pt>
                <c:pt idx="69">
                  <c:v>9.2657151621214737</c:v>
                </c:pt>
                <c:pt idx="70">
                  <c:v>8.6617376229604695</c:v>
                </c:pt>
                <c:pt idx="71">
                  <c:v>8.0577600837994652</c:v>
                </c:pt>
                <c:pt idx="72">
                  <c:v>7.4537825446384618</c:v>
                </c:pt>
                <c:pt idx="73">
                  <c:v>6.8498050054774584</c:v>
                </c:pt>
                <c:pt idx="74">
                  <c:v>6.245827466316455</c:v>
                </c:pt>
                <c:pt idx="75">
                  <c:v>5.6418499271554516</c:v>
                </c:pt>
                <c:pt idx="76">
                  <c:v>5.0378723879944483</c:v>
                </c:pt>
                <c:pt idx="77">
                  <c:v>4.4338948488334449</c:v>
                </c:pt>
                <c:pt idx="78">
                  <c:v>3.829917309672441</c:v>
                </c:pt>
                <c:pt idx="79">
                  <c:v>3.2259397705114372</c:v>
                </c:pt>
                <c:pt idx="80">
                  <c:v>2.6219622313504334</c:v>
                </c:pt>
                <c:pt idx="81">
                  <c:v>2.0179846921894296</c:v>
                </c:pt>
                <c:pt idx="82">
                  <c:v>1.4140071530284257</c:v>
                </c:pt>
                <c:pt idx="83">
                  <c:v>0.810029613867422</c:v>
                </c:pt>
                <c:pt idx="84">
                  <c:v>0.20605207470641829</c:v>
                </c:pt>
                <c:pt idx="85">
                  <c:v>-0.39792546445458543</c:v>
                </c:pt>
                <c:pt idx="86">
                  <c:v>-1.0019030036155891</c:v>
                </c:pt>
                <c:pt idx="87">
                  <c:v>-1.605880542776593</c:v>
                </c:pt>
                <c:pt idx="88">
                  <c:v>-2.2098580819375968</c:v>
                </c:pt>
                <c:pt idx="89">
                  <c:v>-2.8138356210986006</c:v>
                </c:pt>
                <c:pt idx="90">
                  <c:v>-3.4178131602596045</c:v>
                </c:pt>
                <c:pt idx="91">
                  <c:v>-4.0217906994206079</c:v>
                </c:pt>
                <c:pt idx="92">
                  <c:v>-4.6257682385816112</c:v>
                </c:pt>
                <c:pt idx="93">
                  <c:v>-5.2297457777426146</c:v>
                </c:pt>
                <c:pt idx="94">
                  <c:v>-5.833723316903618</c:v>
                </c:pt>
                <c:pt idx="95">
                  <c:v>-6.4377008560646214</c:v>
                </c:pt>
                <c:pt idx="96">
                  <c:v>-7.0416783952256248</c:v>
                </c:pt>
                <c:pt idx="97">
                  <c:v>-7.6456559343866282</c:v>
                </c:pt>
                <c:pt idx="98">
                  <c:v>-8.2496334735476324</c:v>
                </c:pt>
                <c:pt idx="99">
                  <c:v>-8.8536110127086367</c:v>
                </c:pt>
                <c:pt idx="100">
                  <c:v>-9.457588551869641</c:v>
                </c:pt>
                <c:pt idx="101">
                  <c:v>-10.061566091030645</c:v>
                </c:pt>
                <c:pt idx="102">
                  <c:v>-10.66554363019165</c:v>
                </c:pt>
                <c:pt idx="103">
                  <c:v>-11.269521169352654</c:v>
                </c:pt>
                <c:pt idx="104">
                  <c:v>-11.873498708513658</c:v>
                </c:pt>
                <c:pt idx="105">
                  <c:v>-12.477476247674662</c:v>
                </c:pt>
                <c:pt idx="106">
                  <c:v>-13.081453786835667</c:v>
                </c:pt>
                <c:pt idx="107">
                  <c:v>-13.685431325996671</c:v>
                </c:pt>
                <c:pt idx="108">
                  <c:v>-14.289408865157675</c:v>
                </c:pt>
                <c:pt idx="109">
                  <c:v>-14.893386404318679</c:v>
                </c:pt>
                <c:pt idx="110">
                  <c:v>-15.497363943479684</c:v>
                </c:pt>
                <c:pt idx="111">
                  <c:v>-16.101341482640688</c:v>
                </c:pt>
                <c:pt idx="112">
                  <c:v>-16.705319021801692</c:v>
                </c:pt>
                <c:pt idx="113">
                  <c:v>-17.309296560962697</c:v>
                </c:pt>
                <c:pt idx="114">
                  <c:v>-17.913274100123701</c:v>
                </c:pt>
                <c:pt idx="115">
                  <c:v>-18.517251639284705</c:v>
                </c:pt>
                <c:pt idx="116">
                  <c:v>-19.121229178445709</c:v>
                </c:pt>
                <c:pt idx="117">
                  <c:v>-19.725206717606714</c:v>
                </c:pt>
                <c:pt idx="118">
                  <c:v>-20.329184256767718</c:v>
                </c:pt>
                <c:pt idx="119">
                  <c:v>-20.933161795928722</c:v>
                </c:pt>
                <c:pt idx="120">
                  <c:v>-21.537139335089726</c:v>
                </c:pt>
                <c:pt idx="121">
                  <c:v>-22.141116874250731</c:v>
                </c:pt>
                <c:pt idx="122">
                  <c:v>-22.745094413411735</c:v>
                </c:pt>
                <c:pt idx="123">
                  <c:v>-23.349071952572739</c:v>
                </c:pt>
                <c:pt idx="124">
                  <c:v>-23.953049491733744</c:v>
                </c:pt>
                <c:pt idx="125">
                  <c:v>-24.557027030894748</c:v>
                </c:pt>
                <c:pt idx="126">
                  <c:v>-25.161004570055752</c:v>
                </c:pt>
                <c:pt idx="127">
                  <c:v>-25.764982109216756</c:v>
                </c:pt>
                <c:pt idx="128">
                  <c:v>-26.368959648377761</c:v>
                </c:pt>
                <c:pt idx="129">
                  <c:v>-26.972937187538765</c:v>
                </c:pt>
                <c:pt idx="130">
                  <c:v>-27.576914726699769</c:v>
                </c:pt>
                <c:pt idx="131">
                  <c:v>-28.180892265860773</c:v>
                </c:pt>
                <c:pt idx="132">
                  <c:v>-28.784869805021778</c:v>
                </c:pt>
                <c:pt idx="133">
                  <c:v>-29.388847344182782</c:v>
                </c:pt>
                <c:pt idx="134">
                  <c:v>-29.992824883343786</c:v>
                </c:pt>
                <c:pt idx="135">
                  <c:v>-30.596802422504791</c:v>
                </c:pt>
                <c:pt idx="136">
                  <c:v>-31.200779961665795</c:v>
                </c:pt>
                <c:pt idx="137">
                  <c:v>-31.804757500826799</c:v>
                </c:pt>
                <c:pt idx="138">
                  <c:v>-32.408735039987803</c:v>
                </c:pt>
                <c:pt idx="139">
                  <c:v>-33.012712579148804</c:v>
                </c:pt>
                <c:pt idx="140">
                  <c:v>-33.616690118309805</c:v>
                </c:pt>
                <c:pt idx="141">
                  <c:v>-34.220667657470806</c:v>
                </c:pt>
                <c:pt idx="142">
                  <c:v>-34.824645196631806</c:v>
                </c:pt>
                <c:pt idx="143">
                  <c:v>-35.428622735792807</c:v>
                </c:pt>
                <c:pt idx="144">
                  <c:v>-36.032600274953808</c:v>
                </c:pt>
                <c:pt idx="145">
                  <c:v>-36.636577814114808</c:v>
                </c:pt>
                <c:pt idx="146">
                  <c:v>-37.240555353275809</c:v>
                </c:pt>
                <c:pt idx="147">
                  <c:v>-37.84453289243681</c:v>
                </c:pt>
                <c:pt idx="148">
                  <c:v>-38.448510431597811</c:v>
                </c:pt>
                <c:pt idx="149">
                  <c:v>-39.052487970758811</c:v>
                </c:pt>
                <c:pt idx="150">
                  <c:v>-39.656465509919812</c:v>
                </c:pt>
                <c:pt idx="151">
                  <c:v>-40.260443049080813</c:v>
                </c:pt>
                <c:pt idx="152">
                  <c:v>-40.864420588241813</c:v>
                </c:pt>
                <c:pt idx="153">
                  <c:v>-41.468398127402814</c:v>
                </c:pt>
                <c:pt idx="154">
                  <c:v>-42.072375666563815</c:v>
                </c:pt>
                <c:pt idx="155">
                  <c:v>-42.676353205724816</c:v>
                </c:pt>
                <c:pt idx="156">
                  <c:v>-43.280330744885816</c:v>
                </c:pt>
                <c:pt idx="157">
                  <c:v>-43.884308284046817</c:v>
                </c:pt>
                <c:pt idx="158">
                  <c:v>-44.488285823207818</c:v>
                </c:pt>
                <c:pt idx="159">
                  <c:v>-45.092263362368818</c:v>
                </c:pt>
                <c:pt idx="160">
                  <c:v>-45.696240901529819</c:v>
                </c:pt>
                <c:pt idx="161">
                  <c:v>-46.30021844069082</c:v>
                </c:pt>
                <c:pt idx="162">
                  <c:v>-46.904195979851821</c:v>
                </c:pt>
                <c:pt idx="163">
                  <c:v>-47.508173519012821</c:v>
                </c:pt>
                <c:pt idx="164">
                  <c:v>-48.112151058173822</c:v>
                </c:pt>
                <c:pt idx="165">
                  <c:v>-48.716128597334823</c:v>
                </c:pt>
                <c:pt idx="166">
                  <c:v>-49.320106136495824</c:v>
                </c:pt>
                <c:pt idx="167">
                  <c:v>-49.924083675656824</c:v>
                </c:pt>
                <c:pt idx="168">
                  <c:v>-50.528061214817825</c:v>
                </c:pt>
                <c:pt idx="169">
                  <c:v>-51.132038753978826</c:v>
                </c:pt>
                <c:pt idx="170">
                  <c:v>-51.736016293139826</c:v>
                </c:pt>
                <c:pt idx="171">
                  <c:v>-52.339993832300827</c:v>
                </c:pt>
                <c:pt idx="172">
                  <c:v>-52.943971371461828</c:v>
                </c:pt>
                <c:pt idx="173">
                  <c:v>-53.547948910622829</c:v>
                </c:pt>
                <c:pt idx="174">
                  <c:v>-54.151926449783829</c:v>
                </c:pt>
                <c:pt idx="175">
                  <c:v>-54.75590398894483</c:v>
                </c:pt>
                <c:pt idx="176">
                  <c:v>-55.359881528105831</c:v>
                </c:pt>
                <c:pt idx="177">
                  <c:v>-55.963859067266831</c:v>
                </c:pt>
                <c:pt idx="178">
                  <c:v>-56.567836606427832</c:v>
                </c:pt>
                <c:pt idx="179">
                  <c:v>-56.963480055293246</c:v>
                </c:pt>
                <c:pt idx="180">
                  <c:v>-56.963480055293246</c:v>
                </c:pt>
                <c:pt idx="181">
                  <c:v>-56.963480055293246</c:v>
                </c:pt>
                <c:pt idx="182">
                  <c:v>-56.963480055293246</c:v>
                </c:pt>
                <c:pt idx="183">
                  <c:v>-56.963480055293246</c:v>
                </c:pt>
                <c:pt idx="184">
                  <c:v>-56.963480055293246</c:v>
                </c:pt>
                <c:pt idx="185">
                  <c:v>-56.963480055293246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3D39-4440-9FF5-395D9AC8DD4F}"/>
            </c:ext>
          </c:extLst>
        </c:ser>
        <c:ser>
          <c:idx val="4"/>
          <c:order val="4"/>
          <c:tx>
            <c:v>pos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dPt>
            <c:idx val="186"/>
            <c:marker>
              <c:symbol val="circle"/>
              <c:size val="9"/>
              <c:spPr>
                <a:noFill/>
                <a:ln w="9525">
                  <a:solidFill>
                    <a:schemeClr val="tx1"/>
                  </a:solidFill>
                </a:ln>
                <a:effectLst/>
              </c:spPr>
            </c:marker>
            <c:bubble3D val="0"/>
            <c:spPr>
              <a:ln w="19050" cap="rnd">
                <a:solidFill>
                  <a:schemeClr val="tx1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2-266B-984A-9427-8888F6823915}"/>
              </c:ext>
            </c:extLst>
          </c:dPt>
          <c:dLbls>
            <c:dLbl>
              <c:idx val="186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1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Helvetica Neue" panose="02000503000000020004" pitchFamily="2" charset="0"/>
                        <a:ea typeface="Helvetica Neue" panose="02000503000000020004" pitchFamily="2" charset="0"/>
                        <a:cs typeface="Helvetica Neue" panose="02000503000000020004" pitchFamily="2" charset="0"/>
                      </a:defRPr>
                    </a:pPr>
                    <a:r>
                      <a:rPr lang="en-US" sz="1100">
                        <a:latin typeface="Helvetica Neue" panose="02000503000000020004" pitchFamily="2" charset="0"/>
                        <a:ea typeface="Helvetica Neue" panose="02000503000000020004" pitchFamily="2" charset="0"/>
                        <a:cs typeface="Helvetica Neue" panose="02000503000000020004" pitchFamily="2" charset="0"/>
                      </a:rPr>
                      <a:t>Position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Helvetica Neue" panose="02000503000000020004" pitchFamily="2" charset="0"/>
                      <a:ea typeface="Helvetica Neue" panose="02000503000000020004" pitchFamily="2" charset="0"/>
                      <a:cs typeface="Helvetica Neue" panose="02000503000000020004" pitchFamily="2" charset="0"/>
                    </a:defRPr>
                  </a:pPr>
                  <a:endParaRPr lang="de-D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266B-984A-9427-8888F682391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'Grafic global'!$X$5:$X$191</c:f>
              <c:numCache>
                <c:formatCode>0.00</c:formatCode>
                <c:ptCount val="187"/>
                <c:pt idx="186">
                  <c:v>-11.858954233477355</c:v>
                </c:pt>
              </c:numCache>
            </c:numRef>
          </c:xVal>
          <c:yVal>
            <c:numRef>
              <c:f>'Grafic global'!$M$5:$M$191</c:f>
              <c:numCache>
                <c:formatCode>0.00\°;[Red]0.00\°</c:formatCode>
                <c:ptCount val="187"/>
                <c:pt idx="0">
                  <c:v>50.236037975847395</c:v>
                </c:pt>
                <c:pt idx="1">
                  <c:v>50.236037975847395</c:v>
                </c:pt>
                <c:pt idx="2">
                  <c:v>49.732210285908657</c:v>
                </c:pt>
                <c:pt idx="3">
                  <c:v>49.128232746747656</c:v>
                </c:pt>
                <c:pt idx="4">
                  <c:v>48.524255207586656</c:v>
                </c:pt>
                <c:pt idx="5">
                  <c:v>47.920277668425655</c:v>
                </c:pt>
                <c:pt idx="6">
                  <c:v>47.316300129264654</c:v>
                </c:pt>
                <c:pt idx="7">
                  <c:v>46.712322590103653</c:v>
                </c:pt>
                <c:pt idx="8">
                  <c:v>46.108345050942653</c:v>
                </c:pt>
                <c:pt idx="9">
                  <c:v>45.504367511781652</c:v>
                </c:pt>
                <c:pt idx="10">
                  <c:v>44.900389972620651</c:v>
                </c:pt>
                <c:pt idx="11">
                  <c:v>44.296412433459651</c:v>
                </c:pt>
                <c:pt idx="12">
                  <c:v>43.69243489429865</c:v>
                </c:pt>
                <c:pt idx="13">
                  <c:v>43.088457355137649</c:v>
                </c:pt>
                <c:pt idx="14">
                  <c:v>42.484479815976648</c:v>
                </c:pt>
                <c:pt idx="15">
                  <c:v>41.880502276815648</c:v>
                </c:pt>
                <c:pt idx="16">
                  <c:v>41.276524737654647</c:v>
                </c:pt>
                <c:pt idx="17">
                  <c:v>40.672547198493646</c:v>
                </c:pt>
                <c:pt idx="18">
                  <c:v>40.068569659332645</c:v>
                </c:pt>
                <c:pt idx="19">
                  <c:v>39.464592120171645</c:v>
                </c:pt>
                <c:pt idx="20">
                  <c:v>38.860614581010644</c:v>
                </c:pt>
                <c:pt idx="21">
                  <c:v>38.256637041849643</c:v>
                </c:pt>
                <c:pt idx="22">
                  <c:v>37.652659502688643</c:v>
                </c:pt>
                <c:pt idx="23">
                  <c:v>37.048681963527642</c:v>
                </c:pt>
                <c:pt idx="24">
                  <c:v>36.444704424366641</c:v>
                </c:pt>
                <c:pt idx="25">
                  <c:v>35.84072688520564</c:v>
                </c:pt>
                <c:pt idx="26">
                  <c:v>35.23674934604464</c:v>
                </c:pt>
                <c:pt idx="27">
                  <c:v>34.632771806883639</c:v>
                </c:pt>
                <c:pt idx="28">
                  <c:v>34.028794267722638</c:v>
                </c:pt>
                <c:pt idx="29">
                  <c:v>33.424816728561638</c:v>
                </c:pt>
                <c:pt idx="30">
                  <c:v>32.820839189400637</c:v>
                </c:pt>
                <c:pt idx="31">
                  <c:v>32.216861650239636</c:v>
                </c:pt>
                <c:pt idx="32">
                  <c:v>31.612884111078632</c:v>
                </c:pt>
                <c:pt idx="33">
                  <c:v>31.008906571917628</c:v>
                </c:pt>
                <c:pt idx="34">
                  <c:v>30.404929032756623</c:v>
                </c:pt>
                <c:pt idx="35">
                  <c:v>29.800951493595619</c:v>
                </c:pt>
                <c:pt idx="36">
                  <c:v>29.196973954434615</c:v>
                </c:pt>
                <c:pt idx="37">
                  <c:v>28.59299641527361</c:v>
                </c:pt>
                <c:pt idx="38">
                  <c:v>27.989018876112606</c:v>
                </c:pt>
                <c:pt idx="39">
                  <c:v>27.385041336951602</c:v>
                </c:pt>
                <c:pt idx="40">
                  <c:v>26.781063797790598</c:v>
                </c:pt>
                <c:pt idx="41">
                  <c:v>26.177086258629593</c:v>
                </c:pt>
                <c:pt idx="42">
                  <c:v>25.573108719468589</c:v>
                </c:pt>
                <c:pt idx="43">
                  <c:v>24.969131180307585</c:v>
                </c:pt>
                <c:pt idx="44">
                  <c:v>24.365153641146581</c:v>
                </c:pt>
                <c:pt idx="45">
                  <c:v>23.761176101985576</c:v>
                </c:pt>
                <c:pt idx="46">
                  <c:v>23.157198562824572</c:v>
                </c:pt>
                <c:pt idx="47">
                  <c:v>22.553221023663568</c:v>
                </c:pt>
                <c:pt idx="48">
                  <c:v>21.949243484502563</c:v>
                </c:pt>
                <c:pt idx="49">
                  <c:v>21.345265945341559</c:v>
                </c:pt>
                <c:pt idx="50">
                  <c:v>20.741288406180555</c:v>
                </c:pt>
                <c:pt idx="51">
                  <c:v>20.137310867019551</c:v>
                </c:pt>
                <c:pt idx="52">
                  <c:v>19.533333327858546</c:v>
                </c:pt>
                <c:pt idx="53">
                  <c:v>18.929355788697542</c:v>
                </c:pt>
                <c:pt idx="54">
                  <c:v>18.325378249536538</c:v>
                </c:pt>
                <c:pt idx="55">
                  <c:v>17.721400710375534</c:v>
                </c:pt>
                <c:pt idx="56">
                  <c:v>17.117423171214529</c:v>
                </c:pt>
                <c:pt idx="57">
                  <c:v>16.513445632053525</c:v>
                </c:pt>
                <c:pt idx="58">
                  <c:v>15.909468092892521</c:v>
                </c:pt>
                <c:pt idx="59">
                  <c:v>15.305490553731516</c:v>
                </c:pt>
                <c:pt idx="60">
                  <c:v>14.701513014570512</c:v>
                </c:pt>
                <c:pt idx="61">
                  <c:v>14.097535475409508</c:v>
                </c:pt>
                <c:pt idx="62">
                  <c:v>13.493557936248504</c:v>
                </c:pt>
                <c:pt idx="63">
                  <c:v>12.889580397087499</c:v>
                </c:pt>
                <c:pt idx="64">
                  <c:v>12.285602857926495</c:v>
                </c:pt>
                <c:pt idx="65">
                  <c:v>11.681625318765491</c:v>
                </c:pt>
                <c:pt idx="66">
                  <c:v>11.077647779604487</c:v>
                </c:pt>
                <c:pt idx="67">
                  <c:v>10.473670240443482</c:v>
                </c:pt>
                <c:pt idx="68">
                  <c:v>9.869692701282478</c:v>
                </c:pt>
                <c:pt idx="69">
                  <c:v>9.2657151621214737</c:v>
                </c:pt>
                <c:pt idx="70">
                  <c:v>8.6617376229604695</c:v>
                </c:pt>
                <c:pt idx="71">
                  <c:v>8.0577600837994652</c:v>
                </c:pt>
                <c:pt idx="72">
                  <c:v>7.4537825446384618</c:v>
                </c:pt>
                <c:pt idx="73">
                  <c:v>6.8498050054774584</c:v>
                </c:pt>
                <c:pt idx="74">
                  <c:v>6.245827466316455</c:v>
                </c:pt>
                <c:pt idx="75">
                  <c:v>5.6418499271554516</c:v>
                </c:pt>
                <c:pt idx="76">
                  <c:v>5.0378723879944483</c:v>
                </c:pt>
                <c:pt idx="77">
                  <c:v>4.4338948488334449</c:v>
                </c:pt>
                <c:pt idx="78">
                  <c:v>3.829917309672441</c:v>
                </c:pt>
                <c:pt idx="79">
                  <c:v>3.2259397705114372</c:v>
                </c:pt>
                <c:pt idx="80">
                  <c:v>2.6219622313504334</c:v>
                </c:pt>
                <c:pt idx="81">
                  <c:v>2.0179846921894296</c:v>
                </c:pt>
                <c:pt idx="82">
                  <c:v>1.4140071530284257</c:v>
                </c:pt>
                <c:pt idx="83">
                  <c:v>0.810029613867422</c:v>
                </c:pt>
                <c:pt idx="84">
                  <c:v>0.20605207470641829</c:v>
                </c:pt>
                <c:pt idx="85">
                  <c:v>-0.39792546445458543</c:v>
                </c:pt>
                <c:pt idx="86">
                  <c:v>-1.0019030036155891</c:v>
                </c:pt>
                <c:pt idx="87">
                  <c:v>-1.605880542776593</c:v>
                </c:pt>
                <c:pt idx="88">
                  <c:v>-2.2098580819375968</c:v>
                </c:pt>
                <c:pt idx="89">
                  <c:v>-2.8138356210986006</c:v>
                </c:pt>
                <c:pt idx="90">
                  <c:v>-3.4178131602596045</c:v>
                </c:pt>
                <c:pt idx="91">
                  <c:v>-4.0217906994206079</c:v>
                </c:pt>
                <c:pt idx="92">
                  <c:v>-4.6257682385816112</c:v>
                </c:pt>
                <c:pt idx="93">
                  <c:v>-5.2297457777426146</c:v>
                </c:pt>
                <c:pt idx="94">
                  <c:v>-5.833723316903618</c:v>
                </c:pt>
                <c:pt idx="95">
                  <c:v>-6.4377008560646214</c:v>
                </c:pt>
                <c:pt idx="96">
                  <c:v>-7.0416783952256248</c:v>
                </c:pt>
                <c:pt idx="97">
                  <c:v>-7.6456559343866282</c:v>
                </c:pt>
                <c:pt idx="98">
                  <c:v>-8.2496334735476324</c:v>
                </c:pt>
                <c:pt idx="99">
                  <c:v>-8.8536110127086367</c:v>
                </c:pt>
                <c:pt idx="100">
                  <c:v>-9.457588551869641</c:v>
                </c:pt>
                <c:pt idx="101">
                  <c:v>-10.061566091030645</c:v>
                </c:pt>
                <c:pt idx="102">
                  <c:v>-10.66554363019165</c:v>
                </c:pt>
                <c:pt idx="103">
                  <c:v>-11.269521169352654</c:v>
                </c:pt>
                <c:pt idx="104">
                  <c:v>-11.873498708513658</c:v>
                </c:pt>
                <c:pt idx="105">
                  <c:v>-12.477476247674662</c:v>
                </c:pt>
                <c:pt idx="106">
                  <c:v>-13.081453786835667</c:v>
                </c:pt>
                <c:pt idx="107">
                  <c:v>-13.685431325996671</c:v>
                </c:pt>
                <c:pt idx="108">
                  <c:v>-14.289408865157675</c:v>
                </c:pt>
                <c:pt idx="109">
                  <c:v>-14.893386404318679</c:v>
                </c:pt>
                <c:pt idx="110">
                  <c:v>-15.497363943479684</c:v>
                </c:pt>
                <c:pt idx="111">
                  <c:v>-16.101341482640688</c:v>
                </c:pt>
                <c:pt idx="112">
                  <c:v>-16.705319021801692</c:v>
                </c:pt>
                <c:pt idx="113">
                  <c:v>-17.309296560962697</c:v>
                </c:pt>
                <c:pt idx="114">
                  <c:v>-17.913274100123701</c:v>
                </c:pt>
                <c:pt idx="115">
                  <c:v>-18.517251639284705</c:v>
                </c:pt>
                <c:pt idx="116">
                  <c:v>-19.121229178445709</c:v>
                </c:pt>
                <c:pt idx="117">
                  <c:v>-19.725206717606714</c:v>
                </c:pt>
                <c:pt idx="118">
                  <c:v>-20.329184256767718</c:v>
                </c:pt>
                <c:pt idx="119">
                  <c:v>-20.933161795928722</c:v>
                </c:pt>
                <c:pt idx="120">
                  <c:v>-21.537139335089726</c:v>
                </c:pt>
                <c:pt idx="121">
                  <c:v>-22.141116874250731</c:v>
                </c:pt>
                <c:pt idx="122">
                  <c:v>-22.745094413411735</c:v>
                </c:pt>
                <c:pt idx="123">
                  <c:v>-23.349071952572739</c:v>
                </c:pt>
                <c:pt idx="124">
                  <c:v>-23.953049491733744</c:v>
                </c:pt>
                <c:pt idx="125">
                  <c:v>-24.557027030894748</c:v>
                </c:pt>
                <c:pt idx="126">
                  <c:v>-25.161004570055752</c:v>
                </c:pt>
                <c:pt idx="127">
                  <c:v>-25.764982109216756</c:v>
                </c:pt>
                <c:pt idx="128">
                  <c:v>-26.368959648377761</c:v>
                </c:pt>
                <c:pt idx="129">
                  <c:v>-26.972937187538765</c:v>
                </c:pt>
                <c:pt idx="130">
                  <c:v>-27.576914726699769</c:v>
                </c:pt>
                <c:pt idx="131">
                  <c:v>-28.180892265860773</c:v>
                </c:pt>
                <c:pt idx="132">
                  <c:v>-28.784869805021778</c:v>
                </c:pt>
                <c:pt idx="133">
                  <c:v>-29.388847344182782</c:v>
                </c:pt>
                <c:pt idx="134">
                  <c:v>-29.992824883343786</c:v>
                </c:pt>
                <c:pt idx="135">
                  <c:v>-30.596802422504791</c:v>
                </c:pt>
                <c:pt idx="136">
                  <c:v>-31.200779961665795</c:v>
                </c:pt>
                <c:pt idx="137">
                  <c:v>-31.804757500826799</c:v>
                </c:pt>
                <c:pt idx="138">
                  <c:v>-32.408735039987803</c:v>
                </c:pt>
                <c:pt idx="139">
                  <c:v>-33.012712579148804</c:v>
                </c:pt>
                <c:pt idx="140">
                  <c:v>-33.616690118309805</c:v>
                </c:pt>
                <c:pt idx="141">
                  <c:v>-34.220667657470806</c:v>
                </c:pt>
                <c:pt idx="142">
                  <c:v>-34.824645196631806</c:v>
                </c:pt>
                <c:pt idx="143">
                  <c:v>-35.428622735792807</c:v>
                </c:pt>
                <c:pt idx="144">
                  <c:v>-36.032600274953808</c:v>
                </c:pt>
                <c:pt idx="145">
                  <c:v>-36.636577814114808</c:v>
                </c:pt>
                <c:pt idx="146">
                  <c:v>-37.240555353275809</c:v>
                </c:pt>
                <c:pt idx="147">
                  <c:v>-37.84453289243681</c:v>
                </c:pt>
                <c:pt idx="148">
                  <c:v>-38.448510431597811</c:v>
                </c:pt>
                <c:pt idx="149">
                  <c:v>-39.052487970758811</c:v>
                </c:pt>
                <c:pt idx="150">
                  <c:v>-39.656465509919812</c:v>
                </c:pt>
                <c:pt idx="151">
                  <c:v>-40.260443049080813</c:v>
                </c:pt>
                <c:pt idx="152">
                  <c:v>-40.864420588241813</c:v>
                </c:pt>
                <c:pt idx="153">
                  <c:v>-41.468398127402814</c:v>
                </c:pt>
                <c:pt idx="154">
                  <c:v>-42.072375666563815</c:v>
                </c:pt>
                <c:pt idx="155">
                  <c:v>-42.676353205724816</c:v>
                </c:pt>
                <c:pt idx="156">
                  <c:v>-43.280330744885816</c:v>
                </c:pt>
                <c:pt idx="157">
                  <c:v>-43.884308284046817</c:v>
                </c:pt>
                <c:pt idx="158">
                  <c:v>-44.488285823207818</c:v>
                </c:pt>
                <c:pt idx="159">
                  <c:v>-45.092263362368818</c:v>
                </c:pt>
                <c:pt idx="160">
                  <c:v>-45.696240901529819</c:v>
                </c:pt>
                <c:pt idx="161">
                  <c:v>-46.30021844069082</c:v>
                </c:pt>
                <c:pt idx="162">
                  <c:v>-46.904195979851821</c:v>
                </c:pt>
                <c:pt idx="163">
                  <c:v>-47.508173519012821</c:v>
                </c:pt>
                <c:pt idx="164">
                  <c:v>-48.112151058173822</c:v>
                </c:pt>
                <c:pt idx="165">
                  <c:v>-48.716128597334823</c:v>
                </c:pt>
                <c:pt idx="166">
                  <c:v>-49.320106136495824</c:v>
                </c:pt>
                <c:pt idx="167">
                  <c:v>-49.924083675656824</c:v>
                </c:pt>
                <c:pt idx="168">
                  <c:v>-50.528061214817825</c:v>
                </c:pt>
                <c:pt idx="169">
                  <c:v>-51.132038753978826</c:v>
                </c:pt>
                <c:pt idx="170">
                  <c:v>-51.736016293139826</c:v>
                </c:pt>
                <c:pt idx="171">
                  <c:v>-52.339993832300827</c:v>
                </c:pt>
                <c:pt idx="172">
                  <c:v>-52.943971371461828</c:v>
                </c:pt>
                <c:pt idx="173">
                  <c:v>-53.547948910622829</c:v>
                </c:pt>
                <c:pt idx="174">
                  <c:v>-54.151926449783829</c:v>
                </c:pt>
                <c:pt idx="175">
                  <c:v>-54.75590398894483</c:v>
                </c:pt>
                <c:pt idx="176">
                  <c:v>-55.359881528105831</c:v>
                </c:pt>
                <c:pt idx="177">
                  <c:v>-55.963859067266831</c:v>
                </c:pt>
                <c:pt idx="178">
                  <c:v>-56.567836606427832</c:v>
                </c:pt>
                <c:pt idx="179">
                  <c:v>-56.963480055293246</c:v>
                </c:pt>
                <c:pt idx="180">
                  <c:v>-56.963480055293246</c:v>
                </c:pt>
                <c:pt idx="181">
                  <c:v>-56.963480055293246</c:v>
                </c:pt>
                <c:pt idx="182">
                  <c:v>-56.963480055293246</c:v>
                </c:pt>
                <c:pt idx="183">
                  <c:v>-56.963480055293246</c:v>
                </c:pt>
                <c:pt idx="184">
                  <c:v>-56.963480055293246</c:v>
                </c:pt>
                <c:pt idx="185">
                  <c:v>-56.963480055293246</c:v>
                </c:pt>
                <c:pt idx="186">
                  <c:v>33.595343477090736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266B-984A-9427-8888F6823915}"/>
            </c:ext>
          </c:extLst>
        </c:ser>
        <c:ser>
          <c:idx val="5"/>
          <c:order val="5"/>
          <c:tx>
            <c:v>sun</c:v>
          </c:tx>
          <c:spPr>
            <a:ln w="19050" cap="rnd">
              <a:noFill/>
              <a:round/>
            </a:ln>
            <a:effectLst/>
          </c:spPr>
          <c:marker>
            <c:symbol val="none"/>
          </c:marker>
          <c:dPt>
            <c:idx val="187"/>
            <c:marker>
              <c:symbol val="circle"/>
              <c:size val="10"/>
              <c:spPr>
                <a:solidFill>
                  <a:srgbClr val="FFF803"/>
                </a:solidFill>
                <a:ln w="0">
                  <a:solidFill>
                    <a:srgbClr val="00B05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4-16B5-A94A-9BEA-36F714C62772}"/>
              </c:ext>
            </c:extLst>
          </c:dPt>
          <c:dPt>
            <c:idx val="188"/>
            <c:marker>
              <c:symbol val="circle"/>
              <c:size val="10"/>
              <c:spPr>
                <a:solidFill>
                  <a:srgbClr val="FFFF00"/>
                </a:solidFill>
                <a:ln w="0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3-16B5-A94A-9BEA-36F714C62772}"/>
              </c:ext>
            </c:extLst>
          </c:dPt>
          <c:xVal>
            <c:numRef>
              <c:f>'Grafic global'!$Y$5:$Y$193</c:f>
              <c:numCache>
                <c:formatCode>0.00</c:formatCode>
                <c:ptCount val="189"/>
                <c:pt idx="187" formatCode="0.00_ ;[Red]\-0.00\ ">
                  <c:v>29.100701633192671</c:v>
                </c:pt>
                <c:pt idx="188" formatCode="0.00_ ;[Red]\-0.00\ ">
                  <c:v>-23.686070501695195</c:v>
                </c:pt>
              </c:numCache>
            </c:numRef>
          </c:xVal>
          <c:yVal>
            <c:numRef>
              <c:f>'Grafic global'!$M$5:$M$193</c:f>
              <c:numCache>
                <c:formatCode>0.00\°;[Red]0.00\°</c:formatCode>
                <c:ptCount val="189"/>
                <c:pt idx="0">
                  <c:v>50.236037975847395</c:v>
                </c:pt>
                <c:pt idx="1">
                  <c:v>50.236037975847395</c:v>
                </c:pt>
                <c:pt idx="2">
                  <c:v>49.732210285908657</c:v>
                </c:pt>
                <c:pt idx="3">
                  <c:v>49.128232746747656</c:v>
                </c:pt>
                <c:pt idx="4">
                  <c:v>48.524255207586656</c:v>
                </c:pt>
                <c:pt idx="5">
                  <c:v>47.920277668425655</c:v>
                </c:pt>
                <c:pt idx="6">
                  <c:v>47.316300129264654</c:v>
                </c:pt>
                <c:pt idx="7">
                  <c:v>46.712322590103653</c:v>
                </c:pt>
                <c:pt idx="8">
                  <c:v>46.108345050942653</c:v>
                </c:pt>
                <c:pt idx="9">
                  <c:v>45.504367511781652</c:v>
                </c:pt>
                <c:pt idx="10">
                  <c:v>44.900389972620651</c:v>
                </c:pt>
                <c:pt idx="11">
                  <c:v>44.296412433459651</c:v>
                </c:pt>
                <c:pt idx="12">
                  <c:v>43.69243489429865</c:v>
                </c:pt>
                <c:pt idx="13">
                  <c:v>43.088457355137649</c:v>
                </c:pt>
                <c:pt idx="14">
                  <c:v>42.484479815976648</c:v>
                </c:pt>
                <c:pt idx="15">
                  <c:v>41.880502276815648</c:v>
                </c:pt>
                <c:pt idx="16">
                  <c:v>41.276524737654647</c:v>
                </c:pt>
                <c:pt idx="17">
                  <c:v>40.672547198493646</c:v>
                </c:pt>
                <c:pt idx="18">
                  <c:v>40.068569659332645</c:v>
                </c:pt>
                <c:pt idx="19">
                  <c:v>39.464592120171645</c:v>
                </c:pt>
                <c:pt idx="20">
                  <c:v>38.860614581010644</c:v>
                </c:pt>
                <c:pt idx="21">
                  <c:v>38.256637041849643</c:v>
                </c:pt>
                <c:pt idx="22">
                  <c:v>37.652659502688643</c:v>
                </c:pt>
                <c:pt idx="23">
                  <c:v>37.048681963527642</c:v>
                </c:pt>
                <c:pt idx="24">
                  <c:v>36.444704424366641</c:v>
                </c:pt>
                <c:pt idx="25">
                  <c:v>35.84072688520564</c:v>
                </c:pt>
                <c:pt idx="26">
                  <c:v>35.23674934604464</c:v>
                </c:pt>
                <c:pt idx="27">
                  <c:v>34.632771806883639</c:v>
                </c:pt>
                <c:pt idx="28">
                  <c:v>34.028794267722638</c:v>
                </c:pt>
                <c:pt idx="29">
                  <c:v>33.424816728561638</c:v>
                </c:pt>
                <c:pt idx="30">
                  <c:v>32.820839189400637</c:v>
                </c:pt>
                <c:pt idx="31">
                  <c:v>32.216861650239636</c:v>
                </c:pt>
                <c:pt idx="32">
                  <c:v>31.612884111078632</c:v>
                </c:pt>
                <c:pt idx="33">
                  <c:v>31.008906571917628</c:v>
                </c:pt>
                <c:pt idx="34">
                  <c:v>30.404929032756623</c:v>
                </c:pt>
                <c:pt idx="35">
                  <c:v>29.800951493595619</c:v>
                </c:pt>
                <c:pt idx="36">
                  <c:v>29.196973954434615</c:v>
                </c:pt>
                <c:pt idx="37">
                  <c:v>28.59299641527361</c:v>
                </c:pt>
                <c:pt idx="38">
                  <c:v>27.989018876112606</c:v>
                </c:pt>
                <c:pt idx="39">
                  <c:v>27.385041336951602</c:v>
                </c:pt>
                <c:pt idx="40">
                  <c:v>26.781063797790598</c:v>
                </c:pt>
                <c:pt idx="41">
                  <c:v>26.177086258629593</c:v>
                </c:pt>
                <c:pt idx="42">
                  <c:v>25.573108719468589</c:v>
                </c:pt>
                <c:pt idx="43">
                  <c:v>24.969131180307585</c:v>
                </c:pt>
                <c:pt idx="44">
                  <c:v>24.365153641146581</c:v>
                </c:pt>
                <c:pt idx="45">
                  <c:v>23.761176101985576</c:v>
                </c:pt>
                <c:pt idx="46">
                  <c:v>23.157198562824572</c:v>
                </c:pt>
                <c:pt idx="47">
                  <c:v>22.553221023663568</c:v>
                </c:pt>
                <c:pt idx="48">
                  <c:v>21.949243484502563</c:v>
                </c:pt>
                <c:pt idx="49">
                  <c:v>21.345265945341559</c:v>
                </c:pt>
                <c:pt idx="50">
                  <c:v>20.741288406180555</c:v>
                </c:pt>
                <c:pt idx="51">
                  <c:v>20.137310867019551</c:v>
                </c:pt>
                <c:pt idx="52">
                  <c:v>19.533333327858546</c:v>
                </c:pt>
                <c:pt idx="53">
                  <c:v>18.929355788697542</c:v>
                </c:pt>
                <c:pt idx="54">
                  <c:v>18.325378249536538</c:v>
                </c:pt>
                <c:pt idx="55">
                  <c:v>17.721400710375534</c:v>
                </c:pt>
                <c:pt idx="56">
                  <c:v>17.117423171214529</c:v>
                </c:pt>
                <c:pt idx="57">
                  <c:v>16.513445632053525</c:v>
                </c:pt>
                <c:pt idx="58">
                  <c:v>15.909468092892521</c:v>
                </c:pt>
                <c:pt idx="59">
                  <c:v>15.305490553731516</c:v>
                </c:pt>
                <c:pt idx="60">
                  <c:v>14.701513014570512</c:v>
                </c:pt>
                <c:pt idx="61">
                  <c:v>14.097535475409508</c:v>
                </c:pt>
                <c:pt idx="62">
                  <c:v>13.493557936248504</c:v>
                </c:pt>
                <c:pt idx="63">
                  <c:v>12.889580397087499</c:v>
                </c:pt>
                <c:pt idx="64">
                  <c:v>12.285602857926495</c:v>
                </c:pt>
                <c:pt idx="65">
                  <c:v>11.681625318765491</c:v>
                </c:pt>
                <c:pt idx="66">
                  <c:v>11.077647779604487</c:v>
                </c:pt>
                <c:pt idx="67">
                  <c:v>10.473670240443482</c:v>
                </c:pt>
                <c:pt idx="68">
                  <c:v>9.869692701282478</c:v>
                </c:pt>
                <c:pt idx="69">
                  <c:v>9.2657151621214737</c:v>
                </c:pt>
                <c:pt idx="70">
                  <c:v>8.6617376229604695</c:v>
                </c:pt>
                <c:pt idx="71">
                  <c:v>8.0577600837994652</c:v>
                </c:pt>
                <c:pt idx="72">
                  <c:v>7.4537825446384618</c:v>
                </c:pt>
                <c:pt idx="73">
                  <c:v>6.8498050054774584</c:v>
                </c:pt>
                <c:pt idx="74">
                  <c:v>6.245827466316455</c:v>
                </c:pt>
                <c:pt idx="75">
                  <c:v>5.6418499271554516</c:v>
                </c:pt>
                <c:pt idx="76">
                  <c:v>5.0378723879944483</c:v>
                </c:pt>
                <c:pt idx="77">
                  <c:v>4.4338948488334449</c:v>
                </c:pt>
                <c:pt idx="78">
                  <c:v>3.829917309672441</c:v>
                </c:pt>
                <c:pt idx="79">
                  <c:v>3.2259397705114372</c:v>
                </c:pt>
                <c:pt idx="80">
                  <c:v>2.6219622313504334</c:v>
                </c:pt>
                <c:pt idx="81">
                  <c:v>2.0179846921894296</c:v>
                </c:pt>
                <c:pt idx="82">
                  <c:v>1.4140071530284257</c:v>
                </c:pt>
                <c:pt idx="83">
                  <c:v>0.810029613867422</c:v>
                </c:pt>
                <c:pt idx="84">
                  <c:v>0.20605207470641829</c:v>
                </c:pt>
                <c:pt idx="85">
                  <c:v>-0.39792546445458543</c:v>
                </c:pt>
                <c:pt idx="86">
                  <c:v>-1.0019030036155891</c:v>
                </c:pt>
                <c:pt idx="87">
                  <c:v>-1.605880542776593</c:v>
                </c:pt>
                <c:pt idx="88">
                  <c:v>-2.2098580819375968</c:v>
                </c:pt>
                <c:pt idx="89">
                  <c:v>-2.8138356210986006</c:v>
                </c:pt>
                <c:pt idx="90">
                  <c:v>-3.4178131602596045</c:v>
                </c:pt>
                <c:pt idx="91">
                  <c:v>-4.0217906994206079</c:v>
                </c:pt>
                <c:pt idx="92">
                  <c:v>-4.6257682385816112</c:v>
                </c:pt>
                <c:pt idx="93">
                  <c:v>-5.2297457777426146</c:v>
                </c:pt>
                <c:pt idx="94">
                  <c:v>-5.833723316903618</c:v>
                </c:pt>
                <c:pt idx="95">
                  <c:v>-6.4377008560646214</c:v>
                </c:pt>
                <c:pt idx="96">
                  <c:v>-7.0416783952256248</c:v>
                </c:pt>
                <c:pt idx="97">
                  <c:v>-7.6456559343866282</c:v>
                </c:pt>
                <c:pt idx="98">
                  <c:v>-8.2496334735476324</c:v>
                </c:pt>
                <c:pt idx="99">
                  <c:v>-8.8536110127086367</c:v>
                </c:pt>
                <c:pt idx="100">
                  <c:v>-9.457588551869641</c:v>
                </c:pt>
                <c:pt idx="101">
                  <c:v>-10.061566091030645</c:v>
                </c:pt>
                <c:pt idx="102">
                  <c:v>-10.66554363019165</c:v>
                </c:pt>
                <c:pt idx="103">
                  <c:v>-11.269521169352654</c:v>
                </c:pt>
                <c:pt idx="104">
                  <c:v>-11.873498708513658</c:v>
                </c:pt>
                <c:pt idx="105">
                  <c:v>-12.477476247674662</c:v>
                </c:pt>
                <c:pt idx="106">
                  <c:v>-13.081453786835667</c:v>
                </c:pt>
                <c:pt idx="107">
                  <c:v>-13.685431325996671</c:v>
                </c:pt>
                <c:pt idx="108">
                  <c:v>-14.289408865157675</c:v>
                </c:pt>
                <c:pt idx="109">
                  <c:v>-14.893386404318679</c:v>
                </c:pt>
                <c:pt idx="110">
                  <c:v>-15.497363943479684</c:v>
                </c:pt>
                <c:pt idx="111">
                  <c:v>-16.101341482640688</c:v>
                </c:pt>
                <c:pt idx="112">
                  <c:v>-16.705319021801692</c:v>
                </c:pt>
                <c:pt idx="113">
                  <c:v>-17.309296560962697</c:v>
                </c:pt>
                <c:pt idx="114">
                  <c:v>-17.913274100123701</c:v>
                </c:pt>
                <c:pt idx="115">
                  <c:v>-18.517251639284705</c:v>
                </c:pt>
                <c:pt idx="116">
                  <c:v>-19.121229178445709</c:v>
                </c:pt>
                <c:pt idx="117">
                  <c:v>-19.725206717606714</c:v>
                </c:pt>
                <c:pt idx="118">
                  <c:v>-20.329184256767718</c:v>
                </c:pt>
                <c:pt idx="119">
                  <c:v>-20.933161795928722</c:v>
                </c:pt>
                <c:pt idx="120">
                  <c:v>-21.537139335089726</c:v>
                </c:pt>
                <c:pt idx="121">
                  <c:v>-22.141116874250731</c:v>
                </c:pt>
                <c:pt idx="122">
                  <c:v>-22.745094413411735</c:v>
                </c:pt>
                <c:pt idx="123">
                  <c:v>-23.349071952572739</c:v>
                </c:pt>
                <c:pt idx="124">
                  <c:v>-23.953049491733744</c:v>
                </c:pt>
                <c:pt idx="125">
                  <c:v>-24.557027030894748</c:v>
                </c:pt>
                <c:pt idx="126">
                  <c:v>-25.161004570055752</c:v>
                </c:pt>
                <c:pt idx="127">
                  <c:v>-25.764982109216756</c:v>
                </c:pt>
                <c:pt idx="128">
                  <c:v>-26.368959648377761</c:v>
                </c:pt>
                <c:pt idx="129">
                  <c:v>-26.972937187538765</c:v>
                </c:pt>
                <c:pt idx="130">
                  <c:v>-27.576914726699769</c:v>
                </c:pt>
                <c:pt idx="131">
                  <c:v>-28.180892265860773</c:v>
                </c:pt>
                <c:pt idx="132">
                  <c:v>-28.784869805021778</c:v>
                </c:pt>
                <c:pt idx="133">
                  <c:v>-29.388847344182782</c:v>
                </c:pt>
                <c:pt idx="134">
                  <c:v>-29.992824883343786</c:v>
                </c:pt>
                <c:pt idx="135">
                  <c:v>-30.596802422504791</c:v>
                </c:pt>
                <c:pt idx="136">
                  <c:v>-31.200779961665795</c:v>
                </c:pt>
                <c:pt idx="137">
                  <c:v>-31.804757500826799</c:v>
                </c:pt>
                <c:pt idx="138">
                  <c:v>-32.408735039987803</c:v>
                </c:pt>
                <c:pt idx="139">
                  <c:v>-33.012712579148804</c:v>
                </c:pt>
                <c:pt idx="140">
                  <c:v>-33.616690118309805</c:v>
                </c:pt>
                <c:pt idx="141">
                  <c:v>-34.220667657470806</c:v>
                </c:pt>
                <c:pt idx="142">
                  <c:v>-34.824645196631806</c:v>
                </c:pt>
                <c:pt idx="143">
                  <c:v>-35.428622735792807</c:v>
                </c:pt>
                <c:pt idx="144">
                  <c:v>-36.032600274953808</c:v>
                </c:pt>
                <c:pt idx="145">
                  <c:v>-36.636577814114808</c:v>
                </c:pt>
                <c:pt idx="146">
                  <c:v>-37.240555353275809</c:v>
                </c:pt>
                <c:pt idx="147">
                  <c:v>-37.84453289243681</c:v>
                </c:pt>
                <c:pt idx="148">
                  <c:v>-38.448510431597811</c:v>
                </c:pt>
                <c:pt idx="149">
                  <c:v>-39.052487970758811</c:v>
                </c:pt>
                <c:pt idx="150">
                  <c:v>-39.656465509919812</c:v>
                </c:pt>
                <c:pt idx="151">
                  <c:v>-40.260443049080813</c:v>
                </c:pt>
                <c:pt idx="152">
                  <c:v>-40.864420588241813</c:v>
                </c:pt>
                <c:pt idx="153">
                  <c:v>-41.468398127402814</c:v>
                </c:pt>
                <c:pt idx="154">
                  <c:v>-42.072375666563815</c:v>
                </c:pt>
                <c:pt idx="155">
                  <c:v>-42.676353205724816</c:v>
                </c:pt>
                <c:pt idx="156">
                  <c:v>-43.280330744885816</c:v>
                </c:pt>
                <c:pt idx="157">
                  <c:v>-43.884308284046817</c:v>
                </c:pt>
                <c:pt idx="158">
                  <c:v>-44.488285823207818</c:v>
                </c:pt>
                <c:pt idx="159">
                  <c:v>-45.092263362368818</c:v>
                </c:pt>
                <c:pt idx="160">
                  <c:v>-45.696240901529819</c:v>
                </c:pt>
                <c:pt idx="161">
                  <c:v>-46.30021844069082</c:v>
                </c:pt>
                <c:pt idx="162">
                  <c:v>-46.904195979851821</c:v>
                </c:pt>
                <c:pt idx="163">
                  <c:v>-47.508173519012821</c:v>
                </c:pt>
                <c:pt idx="164">
                  <c:v>-48.112151058173822</c:v>
                </c:pt>
                <c:pt idx="165">
                  <c:v>-48.716128597334823</c:v>
                </c:pt>
                <c:pt idx="166">
                  <c:v>-49.320106136495824</c:v>
                </c:pt>
                <c:pt idx="167">
                  <c:v>-49.924083675656824</c:v>
                </c:pt>
                <c:pt idx="168">
                  <c:v>-50.528061214817825</c:v>
                </c:pt>
                <c:pt idx="169">
                  <c:v>-51.132038753978826</c:v>
                </c:pt>
                <c:pt idx="170">
                  <c:v>-51.736016293139826</c:v>
                </c:pt>
                <c:pt idx="171">
                  <c:v>-52.339993832300827</c:v>
                </c:pt>
                <c:pt idx="172">
                  <c:v>-52.943971371461828</c:v>
                </c:pt>
                <c:pt idx="173">
                  <c:v>-53.547948910622829</c:v>
                </c:pt>
                <c:pt idx="174">
                  <c:v>-54.151926449783829</c:v>
                </c:pt>
                <c:pt idx="175">
                  <c:v>-54.75590398894483</c:v>
                </c:pt>
                <c:pt idx="176">
                  <c:v>-55.359881528105831</c:v>
                </c:pt>
                <c:pt idx="177">
                  <c:v>-55.963859067266831</c:v>
                </c:pt>
                <c:pt idx="178">
                  <c:v>-56.567836606427832</c:v>
                </c:pt>
                <c:pt idx="179">
                  <c:v>-56.963480055293246</c:v>
                </c:pt>
                <c:pt idx="180">
                  <c:v>-56.963480055293246</c:v>
                </c:pt>
                <c:pt idx="181">
                  <c:v>-56.963480055293246</c:v>
                </c:pt>
                <c:pt idx="182">
                  <c:v>-56.963480055293246</c:v>
                </c:pt>
                <c:pt idx="183">
                  <c:v>-56.963480055293246</c:v>
                </c:pt>
                <c:pt idx="184">
                  <c:v>-56.963480055293246</c:v>
                </c:pt>
                <c:pt idx="185">
                  <c:v>-56.963480055293246</c:v>
                </c:pt>
                <c:pt idx="186">
                  <c:v>33.595343477090736</c:v>
                </c:pt>
                <c:pt idx="187" formatCode="0.00_ ;[Red]\-0.00\ ">
                  <c:v>-3.3637210397229271</c:v>
                </c:pt>
                <c:pt idx="188" formatCode="0.00_ ;[Red]\-0.00\ ">
                  <c:v>-3.4205131602596803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16B5-A94A-9BEA-36F714C627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219597184"/>
        <c:axId val="-1219542448"/>
      </c:scatterChart>
      <c:valAx>
        <c:axId val="-1219597184"/>
        <c:scaling>
          <c:orientation val="minMax"/>
          <c:max val="180"/>
          <c:min val="-1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bg2"/>
              </a:solidFill>
              <a:round/>
            </a:ln>
            <a:effectLst/>
          </c:spPr>
        </c:minorGridlines>
        <c:numFmt formatCode="0\°_ ;[Red]\-0\°\ 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-1219542448"/>
        <c:crosses val="autoZero"/>
        <c:crossBetween val="midCat"/>
        <c:majorUnit val="90"/>
        <c:minorUnit val="10"/>
      </c:valAx>
      <c:valAx>
        <c:axId val="-1219542448"/>
        <c:scaling>
          <c:orientation val="minMax"/>
          <c:max val="90"/>
          <c:min val="-90"/>
        </c:scaling>
        <c:delete val="0"/>
        <c:axPos val="l"/>
        <c:majorGridlines>
          <c:spPr>
            <a:ln w="9525" cap="flat" cmpd="sng" algn="ctr">
              <a:solidFill>
                <a:schemeClr val="bg2"/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\°_ ;[Red]\-0\°\ 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-1219597184"/>
        <c:crosses val="autoZero"/>
        <c:crossBetween val="midCat"/>
        <c:majorUnit val="30"/>
        <c:minorUnit val="10"/>
      </c:valAx>
      <c:spPr>
        <a:noFill/>
        <a:ln>
          <a:solidFill>
            <a:schemeClr val="bg2">
              <a:lumMod val="90000"/>
            </a:schemeClr>
          </a:solidFill>
        </a:ln>
        <a:effectLst/>
      </c:spPr>
    </c:plotArea>
    <c:plotVisOnly val="0"/>
    <c:dispBlanksAs val="span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rgbClr val="C00000"/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812800</xdr:colOff>
      <xdr:row>0</xdr:row>
      <xdr:rowOff>190500</xdr:rowOff>
    </xdr:from>
    <xdr:to>
      <xdr:col>5</xdr:col>
      <xdr:colOff>557325</xdr:colOff>
      <xdr:row>4</xdr:row>
      <xdr:rowOff>12700</xdr:rowOff>
    </xdr:to>
    <xdr:pic>
      <xdr:nvPicPr>
        <xdr:cNvPr id="6" name="Grafik 5">
          <a:extLst>
            <a:ext uri="{FF2B5EF4-FFF2-40B4-BE49-F238E27FC236}">
              <a16:creationId xmlns:a16="http://schemas.microsoft.com/office/drawing/2014/main" id="{CA7B08F1-3110-6A43-8553-DD309287C3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49700" y="190500"/>
          <a:ext cx="1306625" cy="914400"/>
        </a:xfrm>
        <a:prstGeom prst="rect">
          <a:avLst/>
        </a:prstGeom>
      </xdr:spPr>
    </xdr:pic>
    <xdr:clientData/>
  </xdr:twoCellAnchor>
  <xdr:twoCellAnchor>
    <xdr:from>
      <xdr:col>1</xdr:col>
      <xdr:colOff>12700</xdr:colOff>
      <xdr:row>50</xdr:row>
      <xdr:rowOff>76200</xdr:rowOff>
    </xdr:from>
    <xdr:to>
      <xdr:col>5</xdr:col>
      <xdr:colOff>812800</xdr:colOff>
      <xdr:row>69</xdr:row>
      <xdr:rowOff>63500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F4AEDA99-170F-2140-9F79-34B424B75DD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33</xdr:row>
      <xdr:rowOff>12700</xdr:rowOff>
    </xdr:from>
    <xdr:to>
      <xdr:col>6</xdr:col>
      <xdr:colOff>0</xdr:colOff>
      <xdr:row>48</xdr:row>
      <xdr:rowOff>12700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55394CB0-7646-734D-8B00-13CC954081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203200</xdr:colOff>
      <xdr:row>0</xdr:row>
      <xdr:rowOff>127000</xdr:rowOff>
    </xdr:from>
    <xdr:to>
      <xdr:col>6</xdr:col>
      <xdr:colOff>139700</xdr:colOff>
      <xdr:row>23</xdr:row>
      <xdr:rowOff>139700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F83EF139-3359-C34D-B0DC-EBD4BF60401F}"/>
            </a:ext>
          </a:extLst>
        </xdr:cNvPr>
        <xdr:cNvSpPr/>
      </xdr:nvSpPr>
      <xdr:spPr>
        <a:xfrm>
          <a:off x="203200" y="127000"/>
          <a:ext cx="5245100" cy="5930900"/>
        </a:xfrm>
        <a:prstGeom prst="rect">
          <a:avLst/>
        </a:prstGeom>
        <a:noFill/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0.46789</cdr:x>
      <cdr:y>0.81406</cdr:y>
    </cdr:from>
    <cdr:to>
      <cdr:x>0.57246</cdr:x>
      <cdr:y>0.90099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FAF1CB92-EADE-AA44-AC95-56E197A65996}"/>
            </a:ext>
          </a:extLst>
        </cdr:cNvPr>
        <cdr:cNvSpPr txBox="1"/>
      </cdr:nvSpPr>
      <cdr:spPr>
        <a:xfrm xmlns:a="http://schemas.openxmlformats.org/drawingml/2006/main">
          <a:off x="2460066" y="3132602"/>
          <a:ext cx="549833" cy="33449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S</a:t>
          </a:r>
        </a:p>
      </cdr:txBody>
    </cdr:sp>
  </cdr:relSizeAnchor>
  <cdr:relSizeAnchor xmlns:cdr="http://schemas.openxmlformats.org/drawingml/2006/chartDrawing">
    <cdr:from>
      <cdr:x>0.45206</cdr:x>
      <cdr:y>0.03742</cdr:y>
    </cdr:from>
    <cdr:to>
      <cdr:x>0.55082</cdr:x>
      <cdr:y>0.09714</cdr:y>
    </cdr:to>
    <cdr:sp macro="" textlink="">
      <cdr:nvSpPr>
        <cdr:cNvPr id="3" name="Textfeld 1">
          <a:extLst xmlns:a="http://schemas.openxmlformats.org/drawingml/2006/main">
            <a:ext uri="{FF2B5EF4-FFF2-40B4-BE49-F238E27FC236}">
              <a16:creationId xmlns:a16="http://schemas.microsoft.com/office/drawing/2014/main" id="{738E45C9-B192-1F4D-90FE-C44F6EAC77EF}"/>
            </a:ext>
          </a:extLst>
        </cdr:cNvPr>
        <cdr:cNvSpPr txBox="1"/>
      </cdr:nvSpPr>
      <cdr:spPr>
        <a:xfrm xmlns:a="http://schemas.openxmlformats.org/drawingml/2006/main">
          <a:off x="2376855" y="143998"/>
          <a:ext cx="519260" cy="22980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N</a:t>
          </a:r>
        </a:p>
      </cdr:txBody>
    </cdr:sp>
  </cdr:relSizeAnchor>
  <cdr:relSizeAnchor xmlns:cdr="http://schemas.openxmlformats.org/drawingml/2006/chartDrawing">
    <cdr:from>
      <cdr:x>0.87043</cdr:x>
      <cdr:y>0.42537</cdr:y>
    </cdr:from>
    <cdr:to>
      <cdr:x>0.96919</cdr:x>
      <cdr:y>0.48509</cdr:y>
    </cdr:to>
    <cdr:sp macro="" textlink="">
      <cdr:nvSpPr>
        <cdr:cNvPr id="4" name="Textfeld 1">
          <a:extLst xmlns:a="http://schemas.openxmlformats.org/drawingml/2006/main">
            <a:ext uri="{FF2B5EF4-FFF2-40B4-BE49-F238E27FC236}">
              <a16:creationId xmlns:a16="http://schemas.microsoft.com/office/drawing/2014/main" id="{738E45C9-B192-1F4D-90FE-C44F6EAC77EF}"/>
            </a:ext>
          </a:extLst>
        </cdr:cNvPr>
        <cdr:cNvSpPr txBox="1"/>
      </cdr:nvSpPr>
      <cdr:spPr>
        <a:xfrm xmlns:a="http://schemas.openxmlformats.org/drawingml/2006/main">
          <a:off x="4775519" y="2333738"/>
          <a:ext cx="541837" cy="3276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E</a:t>
          </a:r>
        </a:p>
      </cdr:txBody>
    </cdr:sp>
  </cdr:relSizeAnchor>
  <cdr:relSizeAnchor xmlns:cdr="http://schemas.openxmlformats.org/drawingml/2006/chartDrawing">
    <cdr:from>
      <cdr:x>0.12277</cdr:x>
      <cdr:y>0.42791</cdr:y>
    </cdr:from>
    <cdr:to>
      <cdr:x>0.22153</cdr:x>
      <cdr:y>0.48763</cdr:y>
    </cdr:to>
    <cdr:sp macro="" textlink="">
      <cdr:nvSpPr>
        <cdr:cNvPr id="5" name="Textfeld 1">
          <a:extLst xmlns:a="http://schemas.openxmlformats.org/drawingml/2006/main">
            <a:ext uri="{FF2B5EF4-FFF2-40B4-BE49-F238E27FC236}">
              <a16:creationId xmlns:a16="http://schemas.microsoft.com/office/drawing/2014/main" id="{738E45C9-B192-1F4D-90FE-C44F6EAC77EF}"/>
            </a:ext>
          </a:extLst>
        </cdr:cNvPr>
        <cdr:cNvSpPr txBox="1"/>
      </cdr:nvSpPr>
      <cdr:spPr>
        <a:xfrm xmlns:a="http://schemas.openxmlformats.org/drawingml/2006/main">
          <a:off x="673584" y="2347669"/>
          <a:ext cx="541836" cy="3276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W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0.08039</cdr:x>
      <cdr:y>0.08218</cdr:y>
    </cdr:from>
    <cdr:to>
      <cdr:x>0.2113</cdr:x>
      <cdr:y>0.17221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4144687D-8649-3B49-828A-22AD30704366}"/>
            </a:ext>
          </a:extLst>
        </cdr:cNvPr>
        <cdr:cNvSpPr txBox="1"/>
      </cdr:nvSpPr>
      <cdr:spPr>
        <a:xfrm xmlns:a="http://schemas.openxmlformats.org/drawingml/2006/main">
          <a:off x="431863" y="446462"/>
          <a:ext cx="703262" cy="48909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de-DE" sz="1100"/>
        </a:p>
      </cdr:txBody>
    </cdr:sp>
  </cdr:relSizeAnchor>
  <cdr:relSizeAnchor xmlns:cdr="http://schemas.openxmlformats.org/drawingml/2006/chartDrawing">
    <cdr:from>
      <cdr:x>0.89091</cdr:x>
      <cdr:y>0.38925</cdr:y>
    </cdr:from>
    <cdr:to>
      <cdr:x>0.98967</cdr:x>
      <cdr:y>0.43702</cdr:y>
    </cdr:to>
    <cdr:sp macro="" textlink="">
      <cdr:nvSpPr>
        <cdr:cNvPr id="3" name="Textfeld 1">
          <a:extLst xmlns:a="http://schemas.openxmlformats.org/drawingml/2006/main">
            <a:ext uri="{FF2B5EF4-FFF2-40B4-BE49-F238E27FC236}">
              <a16:creationId xmlns:a16="http://schemas.microsoft.com/office/drawing/2014/main" id="{65613A8A-A191-5244-B362-ACBECB4E4839}"/>
            </a:ext>
          </a:extLst>
        </cdr:cNvPr>
        <cdr:cNvSpPr txBox="1"/>
      </cdr:nvSpPr>
      <cdr:spPr>
        <a:xfrm xmlns:a="http://schemas.openxmlformats.org/drawingml/2006/main">
          <a:off x="4706876" y="1221051"/>
          <a:ext cx="521769" cy="149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E</a:t>
          </a:r>
        </a:p>
      </cdr:txBody>
    </cdr:sp>
  </cdr:relSizeAnchor>
  <cdr:relSizeAnchor xmlns:cdr="http://schemas.openxmlformats.org/drawingml/2006/chartDrawing">
    <cdr:from>
      <cdr:x>0.45028</cdr:x>
      <cdr:y>0.02451</cdr:y>
    </cdr:from>
    <cdr:to>
      <cdr:x>0.54904</cdr:x>
      <cdr:y>0.07228</cdr:y>
    </cdr:to>
    <cdr:sp macro="" textlink="">
      <cdr:nvSpPr>
        <cdr:cNvPr id="4" name="Textfeld 1">
          <a:extLst xmlns:a="http://schemas.openxmlformats.org/drawingml/2006/main">
            <a:ext uri="{FF2B5EF4-FFF2-40B4-BE49-F238E27FC236}">
              <a16:creationId xmlns:a16="http://schemas.microsoft.com/office/drawing/2014/main" id="{65613A8A-A191-5244-B362-ACBECB4E4839}"/>
            </a:ext>
          </a:extLst>
        </cdr:cNvPr>
        <cdr:cNvSpPr txBox="1"/>
      </cdr:nvSpPr>
      <cdr:spPr>
        <a:xfrm xmlns:a="http://schemas.openxmlformats.org/drawingml/2006/main">
          <a:off x="2378923" y="76894"/>
          <a:ext cx="521769" cy="149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N</a:t>
          </a:r>
        </a:p>
      </cdr:txBody>
    </cdr:sp>
  </cdr:relSizeAnchor>
  <cdr:relSizeAnchor xmlns:cdr="http://schemas.openxmlformats.org/drawingml/2006/chartDrawing">
    <cdr:from>
      <cdr:x>0.09686</cdr:x>
      <cdr:y>0.39319</cdr:y>
    </cdr:from>
    <cdr:to>
      <cdr:x>0.19562</cdr:x>
      <cdr:y>0.44096</cdr:y>
    </cdr:to>
    <cdr:sp macro="" textlink="">
      <cdr:nvSpPr>
        <cdr:cNvPr id="5" name="Textfeld 1">
          <a:extLst xmlns:a="http://schemas.openxmlformats.org/drawingml/2006/main">
            <a:ext uri="{FF2B5EF4-FFF2-40B4-BE49-F238E27FC236}">
              <a16:creationId xmlns:a16="http://schemas.microsoft.com/office/drawing/2014/main" id="{65613A8A-A191-5244-B362-ACBECB4E4839}"/>
            </a:ext>
          </a:extLst>
        </cdr:cNvPr>
        <cdr:cNvSpPr txBox="1"/>
      </cdr:nvSpPr>
      <cdr:spPr>
        <a:xfrm xmlns:a="http://schemas.openxmlformats.org/drawingml/2006/main">
          <a:off x="511719" y="1233406"/>
          <a:ext cx="521768" cy="149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W</a:t>
          </a:r>
        </a:p>
      </cdr:txBody>
    </cdr:sp>
  </cdr:relSizeAnchor>
  <cdr:relSizeAnchor xmlns:cdr="http://schemas.openxmlformats.org/drawingml/2006/chartDrawing">
    <cdr:from>
      <cdr:x>0.46675</cdr:x>
      <cdr:y>0.86268</cdr:y>
    </cdr:from>
    <cdr:to>
      <cdr:x>0.56551</cdr:x>
      <cdr:y>0.91993</cdr:y>
    </cdr:to>
    <cdr:sp macro="" textlink="">
      <cdr:nvSpPr>
        <cdr:cNvPr id="7" name="Textfeld 1">
          <a:extLst xmlns:a="http://schemas.openxmlformats.org/drawingml/2006/main">
            <a:ext uri="{FF2B5EF4-FFF2-40B4-BE49-F238E27FC236}">
              <a16:creationId xmlns:a16="http://schemas.microsoft.com/office/drawing/2014/main" id="{7181EBBA-D852-7B44-B361-30207C8D50F8}"/>
            </a:ext>
          </a:extLst>
        </cdr:cNvPr>
        <cdr:cNvSpPr txBox="1"/>
      </cdr:nvSpPr>
      <cdr:spPr>
        <a:xfrm xmlns:a="http://schemas.openxmlformats.org/drawingml/2006/main">
          <a:off x="2465946" y="2706141"/>
          <a:ext cx="521769" cy="1795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S</a:t>
          </a:r>
        </a:p>
      </cdr:txBody>
    </cdr:sp>
  </cdr:relSizeAnchor>
  <cdr:relSizeAnchor xmlns:cdr="http://schemas.openxmlformats.org/drawingml/2006/chartDrawing">
    <cdr:from>
      <cdr:x>0.76101</cdr:x>
      <cdr:y>0.41155</cdr:y>
    </cdr:from>
    <cdr:to>
      <cdr:x>0.93823</cdr:x>
      <cdr:y>0.44859</cdr:y>
    </cdr:to>
    <cdr:sp macro="" textlink="">
      <cdr:nvSpPr>
        <cdr:cNvPr id="10" name="Textfeld 1">
          <a:extLst xmlns:a="http://schemas.openxmlformats.org/drawingml/2006/main">
            <a:ext uri="{FF2B5EF4-FFF2-40B4-BE49-F238E27FC236}">
              <a16:creationId xmlns:a16="http://schemas.microsoft.com/office/drawing/2014/main" id="{5AF8B956-F0CC-ED4B-AE99-C66B7F0452FB}"/>
            </a:ext>
          </a:extLst>
        </cdr:cNvPr>
        <cdr:cNvSpPr txBox="1"/>
      </cdr:nvSpPr>
      <cdr:spPr>
        <a:xfrm xmlns:a="http://schemas.openxmlformats.org/drawingml/2006/main">
          <a:off x="4020592" y="1290996"/>
          <a:ext cx="936289" cy="11619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200"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rPr>
            <a:t>Equator</a:t>
          </a:r>
        </a:p>
      </cdr:txBody>
    </cdr:sp>
  </cdr:relSizeAnchor>
  <cdr:relSizeAnchor xmlns:cdr="http://schemas.openxmlformats.org/drawingml/2006/chartDrawing">
    <cdr:from>
      <cdr:x>0.09123</cdr:x>
      <cdr:y>0.4995</cdr:y>
    </cdr:from>
    <cdr:to>
      <cdr:x>0.94938</cdr:x>
      <cdr:y>0.4995</cdr:y>
    </cdr:to>
    <cdr:cxnSp macro="">
      <cdr:nvCxnSpPr>
        <cdr:cNvPr id="12" name="Gerade Verbindung 11">
          <a:extLst xmlns:a="http://schemas.openxmlformats.org/drawingml/2006/main">
            <a:ext uri="{FF2B5EF4-FFF2-40B4-BE49-F238E27FC236}">
              <a16:creationId xmlns:a16="http://schemas.microsoft.com/office/drawing/2014/main" id="{8A5C88C7-9A55-B246-AF0E-1ECE87005B7D}"/>
            </a:ext>
          </a:extLst>
        </cdr:cNvPr>
        <cdr:cNvCxnSpPr/>
      </cdr:nvCxnSpPr>
      <cdr:spPr>
        <a:xfrm xmlns:a="http://schemas.openxmlformats.org/drawingml/2006/main">
          <a:off x="757707" y="2588209"/>
          <a:ext cx="7127622" cy="0"/>
        </a:xfrm>
        <a:prstGeom xmlns:a="http://schemas.openxmlformats.org/drawingml/2006/main" prst="line">
          <a:avLst/>
        </a:prstGeom>
        <a:ln xmlns:a="http://schemas.openxmlformats.org/drawingml/2006/main" w="22225">
          <a:solidFill>
            <a:srgbClr val="FFC0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</xdr:row>
      <xdr:rowOff>12700</xdr:rowOff>
    </xdr:from>
    <xdr:to>
      <xdr:col>7</xdr:col>
      <xdr:colOff>812800</xdr:colOff>
      <xdr:row>29</xdr:row>
      <xdr:rowOff>177800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EB4F5AAF-3A85-3C4E-A6E4-FED0AF842D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0.49929</cdr:x>
      <cdr:y>0.86687</cdr:y>
    </cdr:from>
    <cdr:to>
      <cdr:x>0.59805</cdr:x>
      <cdr:y>0.92658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FAF1CB92-EADE-AA44-AC95-56E197A65996}"/>
            </a:ext>
          </a:extLst>
        </cdr:cNvPr>
        <cdr:cNvSpPr txBox="1"/>
      </cdr:nvSpPr>
      <cdr:spPr>
        <a:xfrm xmlns:a="http://schemas.openxmlformats.org/drawingml/2006/main">
          <a:off x="2739331" y="4755973"/>
          <a:ext cx="541837" cy="32759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S</a:t>
          </a:r>
        </a:p>
      </cdr:txBody>
    </cdr:sp>
  </cdr:relSizeAnchor>
  <cdr:relSizeAnchor xmlns:cdr="http://schemas.openxmlformats.org/drawingml/2006/chartDrawing">
    <cdr:from>
      <cdr:x>0.49071</cdr:x>
      <cdr:y>0.03082</cdr:y>
    </cdr:from>
    <cdr:to>
      <cdr:x>0.58947</cdr:x>
      <cdr:y>0.09054</cdr:y>
    </cdr:to>
    <cdr:sp macro="" textlink="">
      <cdr:nvSpPr>
        <cdr:cNvPr id="3" name="Textfeld 1">
          <a:extLst xmlns:a="http://schemas.openxmlformats.org/drawingml/2006/main">
            <a:ext uri="{FF2B5EF4-FFF2-40B4-BE49-F238E27FC236}">
              <a16:creationId xmlns:a16="http://schemas.microsoft.com/office/drawing/2014/main" id="{738E45C9-B192-1F4D-90FE-C44F6EAC77EF}"/>
            </a:ext>
          </a:extLst>
        </cdr:cNvPr>
        <cdr:cNvSpPr txBox="1"/>
      </cdr:nvSpPr>
      <cdr:spPr>
        <a:xfrm xmlns:a="http://schemas.openxmlformats.org/drawingml/2006/main">
          <a:off x="2692258" y="169109"/>
          <a:ext cx="541837" cy="3276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N</a:t>
          </a:r>
        </a:p>
      </cdr:txBody>
    </cdr:sp>
  </cdr:relSizeAnchor>
  <cdr:relSizeAnchor xmlns:cdr="http://schemas.openxmlformats.org/drawingml/2006/chartDrawing">
    <cdr:from>
      <cdr:x>0.87043</cdr:x>
      <cdr:y>0.42537</cdr:y>
    </cdr:from>
    <cdr:to>
      <cdr:x>0.96919</cdr:x>
      <cdr:y>0.48509</cdr:y>
    </cdr:to>
    <cdr:sp macro="" textlink="">
      <cdr:nvSpPr>
        <cdr:cNvPr id="4" name="Textfeld 1">
          <a:extLst xmlns:a="http://schemas.openxmlformats.org/drawingml/2006/main">
            <a:ext uri="{FF2B5EF4-FFF2-40B4-BE49-F238E27FC236}">
              <a16:creationId xmlns:a16="http://schemas.microsoft.com/office/drawing/2014/main" id="{738E45C9-B192-1F4D-90FE-C44F6EAC77EF}"/>
            </a:ext>
          </a:extLst>
        </cdr:cNvPr>
        <cdr:cNvSpPr txBox="1"/>
      </cdr:nvSpPr>
      <cdr:spPr>
        <a:xfrm xmlns:a="http://schemas.openxmlformats.org/drawingml/2006/main">
          <a:off x="4775519" y="2333738"/>
          <a:ext cx="541837" cy="3276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E</a:t>
          </a:r>
        </a:p>
      </cdr:txBody>
    </cdr:sp>
  </cdr:relSizeAnchor>
  <cdr:relSizeAnchor xmlns:cdr="http://schemas.openxmlformats.org/drawingml/2006/chartDrawing">
    <cdr:from>
      <cdr:x>0.12277</cdr:x>
      <cdr:y>0.42791</cdr:y>
    </cdr:from>
    <cdr:to>
      <cdr:x>0.22153</cdr:x>
      <cdr:y>0.48763</cdr:y>
    </cdr:to>
    <cdr:sp macro="" textlink="">
      <cdr:nvSpPr>
        <cdr:cNvPr id="5" name="Textfeld 1">
          <a:extLst xmlns:a="http://schemas.openxmlformats.org/drawingml/2006/main">
            <a:ext uri="{FF2B5EF4-FFF2-40B4-BE49-F238E27FC236}">
              <a16:creationId xmlns:a16="http://schemas.microsoft.com/office/drawing/2014/main" id="{738E45C9-B192-1F4D-90FE-C44F6EAC77EF}"/>
            </a:ext>
          </a:extLst>
        </cdr:cNvPr>
        <cdr:cNvSpPr txBox="1"/>
      </cdr:nvSpPr>
      <cdr:spPr>
        <a:xfrm xmlns:a="http://schemas.openxmlformats.org/drawingml/2006/main">
          <a:off x="673584" y="2347669"/>
          <a:ext cx="541836" cy="3276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W</a:t>
          </a:r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215900</xdr:colOff>
      <xdr:row>2</xdr:row>
      <xdr:rowOff>127000</xdr:rowOff>
    </xdr:from>
    <xdr:to>
      <xdr:col>10</xdr:col>
      <xdr:colOff>749300</xdr:colOff>
      <xdr:row>22</xdr:row>
      <xdr:rowOff>190500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41BCAB90-EC4B-6848-996B-A9004E778B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0.08039</cdr:x>
      <cdr:y>0.08218</cdr:y>
    </cdr:from>
    <cdr:to>
      <cdr:x>0.2113</cdr:x>
      <cdr:y>0.17221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4144687D-8649-3B49-828A-22AD30704366}"/>
            </a:ext>
          </a:extLst>
        </cdr:cNvPr>
        <cdr:cNvSpPr txBox="1"/>
      </cdr:nvSpPr>
      <cdr:spPr>
        <a:xfrm xmlns:a="http://schemas.openxmlformats.org/drawingml/2006/main">
          <a:off x="431863" y="446462"/>
          <a:ext cx="703262" cy="48909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de-DE" sz="1100"/>
        </a:p>
      </cdr:txBody>
    </cdr:sp>
  </cdr:relSizeAnchor>
  <cdr:relSizeAnchor xmlns:cdr="http://schemas.openxmlformats.org/drawingml/2006/chartDrawing">
    <cdr:from>
      <cdr:x>0.90124</cdr:x>
      <cdr:y>0.41156</cdr:y>
    </cdr:from>
    <cdr:to>
      <cdr:x>1</cdr:x>
      <cdr:y>0.45933</cdr:y>
    </cdr:to>
    <cdr:sp macro="" textlink="">
      <cdr:nvSpPr>
        <cdr:cNvPr id="3" name="Textfeld 1">
          <a:extLst xmlns:a="http://schemas.openxmlformats.org/drawingml/2006/main">
            <a:ext uri="{FF2B5EF4-FFF2-40B4-BE49-F238E27FC236}">
              <a16:creationId xmlns:a16="http://schemas.microsoft.com/office/drawing/2014/main" id="{65613A8A-A191-5244-B362-ACBECB4E4839}"/>
            </a:ext>
          </a:extLst>
        </cdr:cNvPr>
        <cdr:cNvSpPr txBox="1"/>
      </cdr:nvSpPr>
      <cdr:spPr>
        <a:xfrm xmlns:a="http://schemas.openxmlformats.org/drawingml/2006/main">
          <a:off x="7508411" y="1724840"/>
          <a:ext cx="822789" cy="20020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E</a:t>
          </a:r>
        </a:p>
      </cdr:txBody>
    </cdr:sp>
  </cdr:relSizeAnchor>
  <cdr:relSizeAnchor xmlns:cdr="http://schemas.openxmlformats.org/drawingml/2006/chartDrawing">
    <cdr:from>
      <cdr:x>0.47373</cdr:x>
      <cdr:y>0.02958</cdr:y>
    </cdr:from>
    <cdr:to>
      <cdr:x>0.57249</cdr:x>
      <cdr:y>0.07735</cdr:y>
    </cdr:to>
    <cdr:sp macro="" textlink="">
      <cdr:nvSpPr>
        <cdr:cNvPr id="4" name="Textfeld 1">
          <a:extLst xmlns:a="http://schemas.openxmlformats.org/drawingml/2006/main">
            <a:ext uri="{FF2B5EF4-FFF2-40B4-BE49-F238E27FC236}">
              <a16:creationId xmlns:a16="http://schemas.microsoft.com/office/drawing/2014/main" id="{65613A8A-A191-5244-B362-ACBECB4E4839}"/>
            </a:ext>
          </a:extLst>
        </cdr:cNvPr>
        <cdr:cNvSpPr txBox="1"/>
      </cdr:nvSpPr>
      <cdr:spPr>
        <a:xfrm xmlns:a="http://schemas.openxmlformats.org/drawingml/2006/main">
          <a:off x="3946764" y="123969"/>
          <a:ext cx="822789" cy="20020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N</a:t>
          </a:r>
        </a:p>
      </cdr:txBody>
    </cdr:sp>
  </cdr:relSizeAnchor>
  <cdr:relSizeAnchor xmlns:cdr="http://schemas.openxmlformats.org/drawingml/2006/chartDrawing">
    <cdr:from>
      <cdr:x>0.09205</cdr:x>
      <cdr:y>0.41448</cdr:y>
    </cdr:from>
    <cdr:to>
      <cdr:x>0.19081</cdr:x>
      <cdr:y>0.46225</cdr:y>
    </cdr:to>
    <cdr:sp macro="" textlink="">
      <cdr:nvSpPr>
        <cdr:cNvPr id="5" name="Textfeld 1">
          <a:extLst xmlns:a="http://schemas.openxmlformats.org/drawingml/2006/main">
            <a:ext uri="{FF2B5EF4-FFF2-40B4-BE49-F238E27FC236}">
              <a16:creationId xmlns:a16="http://schemas.microsoft.com/office/drawing/2014/main" id="{65613A8A-A191-5244-B362-ACBECB4E4839}"/>
            </a:ext>
          </a:extLst>
        </cdr:cNvPr>
        <cdr:cNvSpPr txBox="1"/>
      </cdr:nvSpPr>
      <cdr:spPr>
        <a:xfrm xmlns:a="http://schemas.openxmlformats.org/drawingml/2006/main">
          <a:off x="766887" y="1737079"/>
          <a:ext cx="822789" cy="20020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W</a:t>
          </a:r>
        </a:p>
      </cdr:txBody>
    </cdr:sp>
  </cdr:relSizeAnchor>
  <cdr:relSizeAnchor xmlns:cdr="http://schemas.openxmlformats.org/drawingml/2006/chartDrawing">
    <cdr:from>
      <cdr:x>0.47994</cdr:x>
      <cdr:y>0.89405</cdr:y>
    </cdr:from>
    <cdr:to>
      <cdr:x>0.5787</cdr:x>
      <cdr:y>0.9513</cdr:y>
    </cdr:to>
    <cdr:sp macro="" textlink="">
      <cdr:nvSpPr>
        <cdr:cNvPr id="7" name="Textfeld 1">
          <a:extLst xmlns:a="http://schemas.openxmlformats.org/drawingml/2006/main">
            <a:ext uri="{FF2B5EF4-FFF2-40B4-BE49-F238E27FC236}">
              <a16:creationId xmlns:a16="http://schemas.microsoft.com/office/drawing/2014/main" id="{7181EBBA-D852-7B44-B361-30207C8D50F8}"/>
            </a:ext>
          </a:extLst>
        </cdr:cNvPr>
        <cdr:cNvSpPr txBox="1"/>
      </cdr:nvSpPr>
      <cdr:spPr>
        <a:xfrm xmlns:a="http://schemas.openxmlformats.org/drawingml/2006/main">
          <a:off x="3998511" y="3746965"/>
          <a:ext cx="822789" cy="23993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S</a:t>
          </a:r>
        </a:p>
      </cdr:txBody>
    </cdr:sp>
  </cdr:relSizeAnchor>
  <cdr:relSizeAnchor xmlns:cdr="http://schemas.openxmlformats.org/drawingml/2006/chartDrawing">
    <cdr:from>
      <cdr:x>0.75462</cdr:x>
      <cdr:y>0.44287</cdr:y>
    </cdr:from>
    <cdr:to>
      <cdr:x>0.93184</cdr:x>
      <cdr:y>0.47991</cdr:y>
    </cdr:to>
    <cdr:sp macro="" textlink="">
      <cdr:nvSpPr>
        <cdr:cNvPr id="10" name="Textfeld 1">
          <a:extLst xmlns:a="http://schemas.openxmlformats.org/drawingml/2006/main">
            <a:ext uri="{FF2B5EF4-FFF2-40B4-BE49-F238E27FC236}">
              <a16:creationId xmlns:a16="http://schemas.microsoft.com/office/drawing/2014/main" id="{5AF8B956-F0CC-ED4B-AE99-C66B7F0452FB}"/>
            </a:ext>
          </a:extLst>
        </cdr:cNvPr>
        <cdr:cNvSpPr txBox="1"/>
      </cdr:nvSpPr>
      <cdr:spPr>
        <a:xfrm xmlns:a="http://schemas.openxmlformats.org/drawingml/2006/main">
          <a:off x="6286923" y="1856080"/>
          <a:ext cx="1476455" cy="15523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200"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rPr>
            <a:t>Equator</a:t>
          </a:r>
        </a:p>
      </cdr:txBody>
    </cdr:sp>
  </cdr:relSizeAnchor>
  <cdr:relSizeAnchor xmlns:cdr="http://schemas.openxmlformats.org/drawingml/2006/chartDrawing">
    <cdr:from>
      <cdr:x>0.09123</cdr:x>
      <cdr:y>0.4995</cdr:y>
    </cdr:from>
    <cdr:to>
      <cdr:x>0.94938</cdr:x>
      <cdr:y>0.4995</cdr:y>
    </cdr:to>
    <cdr:cxnSp macro="">
      <cdr:nvCxnSpPr>
        <cdr:cNvPr id="12" name="Gerade Verbindung 11">
          <a:extLst xmlns:a="http://schemas.openxmlformats.org/drawingml/2006/main">
            <a:ext uri="{FF2B5EF4-FFF2-40B4-BE49-F238E27FC236}">
              <a16:creationId xmlns:a16="http://schemas.microsoft.com/office/drawing/2014/main" id="{8A5C88C7-9A55-B246-AF0E-1ECE87005B7D}"/>
            </a:ext>
          </a:extLst>
        </cdr:cNvPr>
        <cdr:cNvCxnSpPr/>
      </cdr:nvCxnSpPr>
      <cdr:spPr>
        <a:xfrm xmlns:a="http://schemas.openxmlformats.org/drawingml/2006/main">
          <a:off x="757707" y="2588209"/>
          <a:ext cx="7127622" cy="0"/>
        </a:xfrm>
        <a:prstGeom xmlns:a="http://schemas.openxmlformats.org/drawingml/2006/main" prst="line">
          <a:avLst/>
        </a:prstGeom>
        <a:ln xmlns:a="http://schemas.openxmlformats.org/drawingml/2006/main" w="22225">
          <a:solidFill>
            <a:srgbClr val="FFC0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811C1-6476-9748-8E8F-8F37BC682E30}">
  <dimension ref="A1:AE92"/>
  <sheetViews>
    <sheetView showGridLines="0" showRowColHeaders="0" tabSelected="1" zoomScaleNormal="100" workbookViewId="0">
      <selection activeCell="E12" sqref="E12"/>
    </sheetView>
  </sheetViews>
  <sheetFormatPr baseColWidth="10" defaultRowHeight="16"/>
  <cols>
    <col min="1" max="1" width="4.33203125" customWidth="1"/>
    <col min="2" max="2" width="25.33203125" customWidth="1"/>
    <col min="3" max="3" width="10.5" customWidth="1"/>
    <col min="4" max="5" width="9.83203125" customWidth="1"/>
    <col min="6" max="6" width="10.83203125" customWidth="1"/>
    <col min="7" max="8" width="4.33203125" customWidth="1"/>
    <col min="9" max="21" width="9.83203125" customWidth="1"/>
    <col min="22" max="22" width="4.33203125" customWidth="1"/>
    <col min="23" max="23" width="12.1640625" bestFit="1" customWidth="1"/>
    <col min="25" max="25" width="10.83203125" customWidth="1"/>
  </cols>
  <sheetData>
    <row r="1" spans="1:22">
      <c r="A1" s="3"/>
      <c r="B1" s="3"/>
      <c r="C1" s="3"/>
      <c r="D1" s="3"/>
      <c r="E1" s="3"/>
      <c r="F1" s="3"/>
      <c r="G1" s="1"/>
      <c r="H1" s="1"/>
      <c r="I1" s="1"/>
      <c r="J1" s="1"/>
      <c r="K1" s="1"/>
      <c r="L1" s="2"/>
      <c r="M1" s="2"/>
      <c r="N1" s="2"/>
      <c r="O1" s="2"/>
      <c r="P1" s="2"/>
      <c r="Q1" s="2"/>
      <c r="R1" s="2"/>
      <c r="S1" s="2"/>
      <c r="T1" s="2"/>
      <c r="U1" s="2"/>
      <c r="V1" s="9"/>
    </row>
    <row r="2" spans="1:22" ht="27">
      <c r="A2" s="3"/>
      <c r="B2" s="265" t="s">
        <v>113</v>
      </c>
      <c r="C2" s="4"/>
      <c r="D2" s="4"/>
      <c r="E2" s="3"/>
      <c r="F2" s="3"/>
      <c r="G2" s="1"/>
      <c r="H2" s="1"/>
      <c r="I2" s="169" t="s">
        <v>61</v>
      </c>
      <c r="J2" s="171"/>
      <c r="K2" s="170"/>
      <c r="L2" s="5"/>
      <c r="M2" s="5"/>
      <c r="Q2" s="21"/>
      <c r="R2" s="5"/>
      <c r="S2" s="5"/>
      <c r="T2" s="5"/>
      <c r="U2" s="5"/>
      <c r="V2" s="9"/>
    </row>
    <row r="3" spans="1:22">
      <c r="A3" s="3"/>
      <c r="B3" s="3" t="s">
        <v>36</v>
      </c>
      <c r="C3" s="3"/>
      <c r="D3" s="3"/>
      <c r="E3" s="3"/>
      <c r="F3" s="3"/>
      <c r="G3" s="1"/>
      <c r="H3" s="1"/>
      <c r="K3" s="15"/>
      <c r="L3" s="15"/>
      <c r="M3" s="15"/>
      <c r="N3" s="15"/>
      <c r="O3" s="15"/>
      <c r="P3" s="15"/>
      <c r="Q3" s="15"/>
      <c r="R3" s="15"/>
      <c r="S3" s="176"/>
      <c r="T3" s="15"/>
      <c r="U3" s="15"/>
      <c r="V3" s="9"/>
    </row>
    <row r="4" spans="1:22" ht="27">
      <c r="A4" s="3"/>
      <c r="B4" s="3"/>
      <c r="C4" s="3"/>
      <c r="D4" s="17"/>
      <c r="E4" s="3"/>
      <c r="F4" s="18"/>
      <c r="G4" s="1"/>
      <c r="H4" s="1"/>
      <c r="I4" s="1"/>
      <c r="J4" s="1"/>
      <c r="K4" s="1"/>
      <c r="L4" s="1"/>
      <c r="M4" s="1"/>
      <c r="V4" s="9"/>
    </row>
    <row r="5" spans="1:22" ht="20" customHeight="1" thickBot="1">
      <c r="A5" s="6"/>
      <c r="C5" s="16" t="str">
        <f>IF(OR(C7="N",C7="S")," ","N oder S eingeben!")</f>
        <v xml:space="preserve"> </v>
      </c>
      <c r="D5" s="17"/>
      <c r="E5" s="3"/>
      <c r="F5" s="18"/>
      <c r="G5" s="9"/>
      <c r="H5" s="9"/>
      <c r="O5" s="9"/>
      <c r="R5" s="6"/>
      <c r="S5" s="14"/>
      <c r="T5" s="6"/>
      <c r="U5" s="9"/>
      <c r="V5" s="9"/>
    </row>
    <row r="6" spans="1:22" ht="20" customHeight="1">
      <c r="A6" s="3"/>
      <c r="B6" s="215" t="s">
        <v>63</v>
      </c>
      <c r="C6" s="212"/>
      <c r="D6" s="332" t="s">
        <v>116</v>
      </c>
      <c r="E6" s="333"/>
      <c r="F6" s="213" t="s">
        <v>130</v>
      </c>
      <c r="G6" s="1"/>
      <c r="H6" s="1"/>
      <c r="I6" s="250" t="s">
        <v>70</v>
      </c>
      <c r="J6" s="251" t="s">
        <v>44</v>
      </c>
      <c r="K6" s="251" t="s">
        <v>45</v>
      </c>
      <c r="L6" s="251" t="s">
        <v>46</v>
      </c>
      <c r="M6" s="251" t="s">
        <v>47</v>
      </c>
      <c r="N6" s="251" t="s">
        <v>0</v>
      </c>
      <c r="O6" s="252" t="s">
        <v>121</v>
      </c>
      <c r="P6" s="177"/>
      <c r="R6" s="320"/>
      <c r="V6" s="9"/>
    </row>
    <row r="7" spans="1:22" ht="20" customHeight="1">
      <c r="A7" s="3"/>
      <c r="B7" s="292" t="s">
        <v>83</v>
      </c>
      <c r="C7" s="273" t="s">
        <v>128</v>
      </c>
      <c r="D7" s="305" t="s">
        <v>78</v>
      </c>
      <c r="E7" s="307">
        <v>1.2</v>
      </c>
      <c r="F7" s="271" t="s">
        <v>53</v>
      </c>
      <c r="G7" s="1"/>
      <c r="H7" s="1"/>
      <c r="I7" s="180" t="s">
        <v>48</v>
      </c>
      <c r="J7" s="324">
        <f>E12+F12/60</f>
        <v>36.206666666666663</v>
      </c>
      <c r="K7" s="322">
        <f>16-(55*TAN(RADIANS(90-J7))/60-55/1000*(TAN(RADIANS(90-J7)))^3/60+1.777*SQRT(C8))</f>
        <v>12.114459065781034</v>
      </c>
      <c r="L7" s="181">
        <f>IF(F7="L",DGET(I18:J30,2,J31:J32),IF(F7="U",-(32+DGET(I18:J30,2,J31:J32)),#N/A))</f>
        <v>0.1</v>
      </c>
      <c r="M7" s="181">
        <f>-E7</f>
        <v>-1.2</v>
      </c>
      <c r="N7" s="326">
        <f>J7+(K7+L7+M7)/60</f>
        <v>36.390240984429681</v>
      </c>
      <c r="O7" s="328">
        <f>RADIANS(N7)</f>
        <v>0.63512952077248053</v>
      </c>
      <c r="Q7" s="177"/>
      <c r="R7" s="1"/>
      <c r="V7" s="9"/>
    </row>
    <row r="8" spans="1:22" ht="20" customHeight="1" thickBot="1">
      <c r="A8" s="3"/>
      <c r="B8" s="293" t="s">
        <v>77</v>
      </c>
      <c r="C8" s="274">
        <v>2.2000000000000002</v>
      </c>
      <c r="D8" s="306" t="s">
        <v>79</v>
      </c>
      <c r="E8" s="308">
        <v>1.2</v>
      </c>
      <c r="F8" s="272" t="s">
        <v>53</v>
      </c>
      <c r="G8" s="1"/>
      <c r="H8" s="1"/>
      <c r="I8" s="178" t="s">
        <v>49</v>
      </c>
      <c r="J8" s="325">
        <f>E16+F16/60</f>
        <v>51.143333333333331</v>
      </c>
      <c r="K8" s="323">
        <f>16-(55*TAN(RADIANS(90-J8))/60-55/1000*(TAN(RADIANS(90-J8)))^3/60+1.777*SQRT(C8))</f>
        <v>12.626249621746037</v>
      </c>
      <c r="L8" s="179">
        <f>IF(F8="L",DGET(I18:J30,2,J31:J32),IF(F8="U",-(32+DGET(I18:J30,2,J31:J32)),#N/A))</f>
        <v>0.1</v>
      </c>
      <c r="M8" s="179">
        <f>-E8</f>
        <v>-1.2</v>
      </c>
      <c r="N8" s="327">
        <f>J8+(K8+L8+M8)/60</f>
        <v>51.335437493695764</v>
      </c>
      <c r="O8" s="329">
        <f>IF(K8=0,1/0,RADIANS(N8))</f>
        <v>0.89597240721673688</v>
      </c>
      <c r="R8" s="1"/>
      <c r="V8" s="9"/>
    </row>
    <row r="9" spans="1:22" ht="20" customHeight="1" thickBot="1">
      <c r="A9" s="3"/>
      <c r="B9" s="3"/>
      <c r="C9" s="3"/>
      <c r="D9" s="17"/>
      <c r="E9" s="3"/>
      <c r="F9" s="18"/>
      <c r="G9" s="1"/>
      <c r="H9" s="1"/>
      <c r="O9" s="1"/>
      <c r="R9" s="1"/>
      <c r="V9" s="9"/>
    </row>
    <row r="10" spans="1:22" ht="20" customHeight="1">
      <c r="A10" s="3"/>
      <c r="B10" s="219" t="s">
        <v>64</v>
      </c>
      <c r="C10" s="275" t="s">
        <v>73</v>
      </c>
      <c r="D10" s="220" t="s">
        <v>112</v>
      </c>
      <c r="E10" s="343">
        <v>45931</v>
      </c>
      <c r="F10" s="344"/>
      <c r="G10" s="1"/>
      <c r="H10" s="1"/>
      <c r="I10" s="248" t="s">
        <v>72</v>
      </c>
      <c r="J10" s="205" t="s">
        <v>118</v>
      </c>
      <c r="K10" s="205" t="s">
        <v>122</v>
      </c>
      <c r="L10" s="249" t="s">
        <v>123</v>
      </c>
      <c r="M10" s="205" t="s">
        <v>50</v>
      </c>
      <c r="N10" s="205" t="s">
        <v>51</v>
      </c>
      <c r="O10" s="205" t="s">
        <v>52</v>
      </c>
      <c r="P10" s="203" t="s">
        <v>53</v>
      </c>
      <c r="Q10" s="204" t="s">
        <v>124</v>
      </c>
      <c r="R10" s="205" t="s">
        <v>125</v>
      </c>
      <c r="S10" s="205" t="s">
        <v>126</v>
      </c>
      <c r="T10" s="205" t="s">
        <v>54</v>
      </c>
      <c r="U10" s="206" t="s">
        <v>55</v>
      </c>
      <c r="V10" s="9"/>
    </row>
    <row r="11" spans="1:22" ht="20" customHeight="1">
      <c r="A11" s="3"/>
      <c r="B11" s="221"/>
      <c r="C11" s="276" t="s">
        <v>66</v>
      </c>
      <c r="D11" s="214" t="s">
        <v>74</v>
      </c>
      <c r="E11" s="345">
        <v>0.41194444444444445</v>
      </c>
      <c r="F11" s="346"/>
      <c r="G11" s="1"/>
      <c r="I11" s="253" t="s">
        <v>48</v>
      </c>
      <c r="J11" s="254">
        <f>_xlfn.DAYS(dat,ref)+ot-0.5</f>
        <v>9404.9119444444441</v>
      </c>
      <c r="K11" s="255">
        <f>RADIANS(_A1+_B1*_T1)</f>
        <v>166.68578555109306</v>
      </c>
      <c r="L11" s="255">
        <f>RADIANS(_A2+_B2*_T1)</f>
        <v>4.945960827099575</v>
      </c>
      <c r="M11" s="255">
        <f>K11-L11</f>
        <v>161.73982472399348</v>
      </c>
      <c r="N11" s="255">
        <f>_A3-_B3*_T1</f>
        <v>1.6698185316860601E-2</v>
      </c>
      <c r="O11" s="255">
        <f>(2*N11-N11^3/4)*SIN(M11)+5*N11^2/4*SIN(2*M11)+13*N11^3/12*SIN(3*M11)</f>
        <v>-3.3308422745289355E-2</v>
      </c>
      <c r="P11" s="255">
        <f>K11+O11</f>
        <v>166.65247712834778</v>
      </c>
      <c r="Q11" s="255">
        <f>RADIANS(_A4-_B4*_T1)</f>
        <v>0.40903218468667779</v>
      </c>
      <c r="R11" s="255">
        <f>ATAN(  (TAN(K11)-TAN(P11)*COS(Q11))  /(1+TAN(K11)*TAN(P11)*COS(Q11)))</f>
        <v>4.5366314742498859E-2</v>
      </c>
      <c r="S11" s="255">
        <f>IF((ot*24+12)&gt;24,R11+RADIANS(15)*(ot*24-12),R11+RADIANS(15)*(ot*24+12))</f>
        <v>5.7752822490398827</v>
      </c>
      <c r="T11" s="254">
        <f>IF(S11&lt;0,S11+2*PI(),IF(S11&gt;2*PI(),S11-2*PI(),S11))</f>
        <v>5.7752822490398827</v>
      </c>
      <c r="U11" s="256">
        <f>ASIN(SIN(P11)*SIN(Q11))</f>
        <v>-5.8708007261772048E-2</v>
      </c>
    </row>
    <row r="12" spans="1:22" ht="20" customHeight="1" thickBot="1">
      <c r="A12" s="3"/>
      <c r="B12" s="222"/>
      <c r="C12" s="277" t="s">
        <v>69</v>
      </c>
      <c r="D12" s="223" t="str">
        <f>IF(F7="U","Upper limb",IF(F7="L","Lower limb: ","?"))</f>
        <v xml:space="preserve">Lower limb: </v>
      </c>
      <c r="E12" s="269">
        <v>36</v>
      </c>
      <c r="F12" s="270">
        <v>12.4</v>
      </c>
      <c r="G12" s="1"/>
      <c r="H12" s="1"/>
      <c r="I12" s="257" t="s">
        <v>49</v>
      </c>
      <c r="J12" s="258">
        <f>_xlfn.DAYS(dat_,ref)+ot_-0.5</f>
        <v>9405.0585416666672</v>
      </c>
      <c r="K12" s="259">
        <f>RADIANS(_A1+_B1*_T2)</f>
        <v>166.68830743251235</v>
      </c>
      <c r="L12" s="259">
        <f>RADIANS(_A2+_B2*_T2)</f>
        <v>4.9459609475308506</v>
      </c>
      <c r="M12" s="259">
        <f>(K12-L12)</f>
        <v>161.74234648498148</v>
      </c>
      <c r="N12" s="259">
        <f>_A3-_B3*_T2</f>
        <v>1.6698185148288844E-2</v>
      </c>
      <c r="O12" s="259">
        <f>(2*N12-N12^3/4)*SIN(M12)+5*N12^2/4*SIN(2*M12)+13*N12^3/12*SIN(3*M12)</f>
        <v>-3.3314453048810352E-2</v>
      </c>
      <c r="P12" s="259">
        <f>K12+O12</f>
        <v>166.65499297946354</v>
      </c>
      <c r="Q12" s="259">
        <f>RADIANS(_A4-_B4*_T2)</f>
        <v>0.40903218377562867</v>
      </c>
      <c r="R12" s="259">
        <f>ATAN(  (TAN(K12)-TAN(P12)*COS(Q12))  /(1+TAN(K12)*TAN(P12)*COS(Q12)))</f>
        <v>4.5571777256281074E-2</v>
      </c>
      <c r="S12" s="259">
        <f>IF((ot_*24+12)&gt;24,R12+RADIANS(15)*(ot_*24-12),R12+RADIANS(15)*(ot_*24+12))</f>
        <v>0.4133999171140863</v>
      </c>
      <c r="T12" s="258">
        <f>IF(S12&lt;0,S12+2*PI(),IF(S12&gt;2*PI(),S12-2*PI(),S12))</f>
        <v>0.4133999171140863</v>
      </c>
      <c r="U12" s="260">
        <f>ASIN(SIN(P12)*SIN(Q12))</f>
        <v>-5.9699216754327877E-2</v>
      </c>
      <c r="V12" s="9"/>
    </row>
    <row r="13" spans="1:22" ht="20" customHeight="1" thickBot="1">
      <c r="A13" s="3"/>
      <c r="B13" s="3"/>
      <c r="C13" s="278"/>
      <c r="D13" s="241"/>
      <c r="E13" s="3"/>
      <c r="F13" s="18"/>
      <c r="G13" s="1"/>
      <c r="H13" s="1"/>
      <c r="V13" s="9"/>
    </row>
    <row r="14" spans="1:22" ht="20" customHeight="1">
      <c r="A14" s="3"/>
      <c r="B14" s="224" t="s">
        <v>65</v>
      </c>
      <c r="C14" s="279" t="s">
        <v>73</v>
      </c>
      <c r="D14" s="225" t="s">
        <v>112</v>
      </c>
      <c r="E14" s="338">
        <v>45931</v>
      </c>
      <c r="F14" s="339"/>
      <c r="G14" s="1"/>
      <c r="H14" s="1"/>
      <c r="I14" s="202" t="s">
        <v>71</v>
      </c>
      <c r="J14" s="199" t="s">
        <v>42</v>
      </c>
      <c r="K14" s="200" t="s">
        <v>40</v>
      </c>
      <c r="L14" s="200" t="s">
        <v>37</v>
      </c>
      <c r="M14" s="200" t="s">
        <v>41</v>
      </c>
      <c r="N14" s="200" t="s">
        <v>38</v>
      </c>
      <c r="O14" s="199" t="s">
        <v>119</v>
      </c>
      <c r="P14" s="201" t="s">
        <v>6</v>
      </c>
      <c r="Q14" s="321" t="s">
        <v>120</v>
      </c>
      <c r="R14" s="199" t="s">
        <v>56</v>
      </c>
      <c r="S14" s="200" t="s">
        <v>43</v>
      </c>
      <c r="T14" s="200" t="s">
        <v>57</v>
      </c>
      <c r="U14" s="330" t="s">
        <v>127</v>
      </c>
      <c r="V14" s="9"/>
    </row>
    <row r="15" spans="1:22" ht="20" customHeight="1">
      <c r="A15" s="3"/>
      <c r="B15" s="226" t="str">
        <f>IF(OR((dat_-dat)+ot_-ot&lt;0,(dat_-dat)+ot_-ot&gt;5),"Zwischenzeit!"," ")</f>
        <v xml:space="preserve"> </v>
      </c>
      <c r="C15" s="280" t="s">
        <v>66</v>
      </c>
      <c r="D15" s="218" t="s">
        <v>74</v>
      </c>
      <c r="E15" s="340">
        <v>0.55854166666666671</v>
      </c>
      <c r="F15" s="341"/>
      <c r="G15" s="1"/>
      <c r="H15" s="1"/>
      <c r="I15" s="210" t="s">
        <v>62</v>
      </c>
      <c r="J15" s="183">
        <f>IF(B15="Zwischenzeit!","X",grt_-grt)</f>
        <v>-5.3618823319257967</v>
      </c>
      <c r="K15" s="183">
        <f>ATAN(TAN(d_)/COS(q))</f>
        <v>-9.8509345397578468E-2</v>
      </c>
      <c r="L15" s="184">
        <f>ATAN(COS(F)*TAN(q)/SIN(F-d))</f>
        <v>-1.5404410765797416</v>
      </c>
      <c r="M15" s="184">
        <f>ACOS((COS(V)*TAN(h)/TAN(F-d))*(SIN(h_)*SIN(F)/SIN(h)/SIN(d_)/COS(F-d)-1))*IF(C7="N",1,-1)*SIGN(d)*IF(AND(ot_&lt;ot,(dat_+ot_-dat-ot)&gt;0.4),-1,1)</f>
        <v>-2.2887687356125581</v>
      </c>
      <c r="N15" s="183">
        <f>ATAN(TAN(h)/COS(V-W))</f>
        <v>0.78823721557231163</v>
      </c>
      <c r="O15" s="183">
        <f>ATAN(COS(G)*TAN(V-W)/SIN(G-d))</f>
        <v>0.71812129781729794</v>
      </c>
      <c r="P15" s="184">
        <f>ATAN(COS(tau)*_xlfn.COT(G-d))</f>
        <v>0.58727647865927557</v>
      </c>
      <c r="Q15" s="188">
        <f>grt+tau</f>
        <v>6.4934035468571807</v>
      </c>
      <c r="R15" s="188"/>
      <c r="S15" s="189">
        <f>IF(grt-_l&lt;0,grt-_l+ 2*PI(),IF(grt-_l&gt;2*PI(),grt-_l-2*PI(),grt-_l))</f>
        <v>5.5650640093622883</v>
      </c>
      <c r="T15" s="189">
        <f>IF(LHA&gt;PI(),ACOS((SIN(d)-SIN(h)*SIN(j))/(COS(h)*COS(j))),(2*PI()-ACOS((SIN(d)-SIN(h)*SIN(j))/(COS(h)*COS(j)))))</f>
        <v>2.1872178810149681</v>
      </c>
      <c r="U15" s="190">
        <f>RADIANS(dmg/60)*COS(Az-RADIANS(cmg))+h</f>
        <v>0.63786626795301782</v>
      </c>
      <c r="V15" s="9"/>
    </row>
    <row r="16" spans="1:22" ht="20" customHeight="1" thickBot="1">
      <c r="A16" s="3"/>
      <c r="B16" s="227"/>
      <c r="C16" s="281" t="s">
        <v>69</v>
      </c>
      <c r="D16" s="228" t="str">
        <f>IF(F8="U","Upper limb",IF(F8="L","Lower limb: ","?"))</f>
        <v xml:space="preserve">Lower limb: </v>
      </c>
      <c r="E16" s="267">
        <v>51</v>
      </c>
      <c r="F16" s="268">
        <v>8.6</v>
      </c>
      <c r="G16" s="1"/>
      <c r="I16" s="192" t="s">
        <v>58</v>
      </c>
      <c r="J16" s="318"/>
      <c r="K16" s="319"/>
      <c r="L16" s="182"/>
      <c r="M16" s="185">
        <f>ACOS((COS(V)*TAN(hs)/TAN(F-d))*(SIN(h_)*SIN(F)/SIN(hs)/SIN(d_)/COS(F-d)-1))*IF(C7="N",1,-1)*SIGN(d)*IF(AND(ot_&lt;ot,(dat_+ot_-dat-ot)&gt;0.4),-1,1)</f>
        <v>-2.2877655413600526</v>
      </c>
      <c r="N16" s="186">
        <f>ATAN(TAN(hs)/COS(V-Ws))</f>
        <v>0.79063463953736102</v>
      </c>
      <c r="O16" s="186">
        <f>ATAN(COS(Gs)*TAN(V-Ws)/SIN(Gs-d))</f>
        <v>0.71488085535720358</v>
      </c>
      <c r="P16" s="186">
        <f>ATAN(COS(taus)*_xlfn.COT(Gs-d))</f>
        <v>0.58634935701363355</v>
      </c>
      <c r="Q16" s="186">
        <f>grt+taus</f>
        <v>6.4901631043970864</v>
      </c>
      <c r="R16" s="186">
        <f>IF(_ls&gt;3*PI(),2*PI(),0)+IF(_ls&lt;PI(),-_ls,2*PI()-_ls)</f>
        <v>-0.2069777972175002</v>
      </c>
      <c r="S16" s="191">
        <f>IF(grt_+ls&lt;0,grt_+ls+ 2*PI(),IF(grt_+ls&gt;2*PI(),grt_+ls-2*PI(),grt_+ls))</f>
        <v>0.2064221198965861</v>
      </c>
      <c r="T16" s="191">
        <f>IF(LHA_&gt;PI(),ACOS((SIN(d_)-SIN(js)*SIN(h_))/COS(js)/COS(h_)),(2*PI()-ACOS((SIN(d_)-SIN(js)*SIN(h_))/COS(js)/COS(h_))))</f>
        <v>3.4752242226672783</v>
      </c>
      <c r="U16" s="187"/>
      <c r="V16" s="9"/>
    </row>
    <row r="17" spans="1:22" ht="20" customHeight="1" thickBot="1">
      <c r="A17" s="3"/>
      <c r="B17" s="211"/>
      <c r="D17" s="211"/>
      <c r="E17" s="266"/>
      <c r="F17" s="266"/>
      <c r="G17" s="7"/>
      <c r="R17" s="1"/>
      <c r="V17" s="9"/>
    </row>
    <row r="18" spans="1:22" ht="20" customHeight="1" thickBot="1">
      <c r="A18" s="3"/>
      <c r="B18" s="229" t="s">
        <v>82</v>
      </c>
      <c r="C18" s="230"/>
      <c r="D18" s="231" t="s">
        <v>75</v>
      </c>
      <c r="E18" s="317">
        <v>22</v>
      </c>
      <c r="F18" s="232" t="s">
        <v>80</v>
      </c>
      <c r="G18" s="1"/>
      <c r="I18" s="309" t="s">
        <v>59</v>
      </c>
      <c r="J18" s="310" t="s">
        <v>117</v>
      </c>
      <c r="L18" s="311" t="s">
        <v>39</v>
      </c>
      <c r="M18" s="312" t="s">
        <v>114</v>
      </c>
      <c r="V18" s="20"/>
    </row>
    <row r="19" spans="1:22" ht="20" customHeight="1">
      <c r="A19" s="3"/>
      <c r="B19" s="233" t="s">
        <v>81</v>
      </c>
      <c r="C19" s="234"/>
      <c r="D19" s="235" t="s">
        <v>76</v>
      </c>
      <c r="E19" s="240">
        <v>190</v>
      </c>
      <c r="F19" s="236"/>
      <c r="G19" s="1"/>
      <c r="I19" s="193">
        <v>1</v>
      </c>
      <c r="J19" s="194">
        <v>0.3</v>
      </c>
      <c r="K19" s="1"/>
      <c r="L19" s="207" t="s">
        <v>15</v>
      </c>
      <c r="M19" s="261">
        <f>280.4656</f>
        <v>280.46559999999999</v>
      </c>
      <c r="V19" s="20"/>
    </row>
    <row r="20" spans="1:22" ht="20" customHeight="1">
      <c r="A20" s="3"/>
      <c r="B20" s="216"/>
      <c r="C20" s="216"/>
      <c r="D20" s="216"/>
      <c r="E20" s="217"/>
      <c r="F20" s="217"/>
      <c r="G20" s="1"/>
      <c r="I20" s="195">
        <f t="shared" ref="I20:I30" si="0">1+I19</f>
        <v>2</v>
      </c>
      <c r="J20" s="196">
        <v>0.2</v>
      </c>
      <c r="K20" s="19"/>
      <c r="L20" s="208" t="s">
        <v>16</v>
      </c>
      <c r="M20" s="262">
        <f>282.94</f>
        <v>282.94</v>
      </c>
      <c r="V20" s="20"/>
    </row>
    <row r="21" spans="1:22" ht="20" customHeight="1">
      <c r="B21" s="237" t="s">
        <v>84</v>
      </c>
      <c r="C21" s="282" t="s">
        <v>86</v>
      </c>
      <c r="D21" s="285">
        <f>IFERROR(INT(ABS(DEGREES(js)))," ")</f>
        <v>33</v>
      </c>
      <c r="E21" s="286">
        <f>IFERROR(ROUNDDOWN((ABS(DEGREES(js))-D21),6)*60," ")</f>
        <v>35.720579999999998</v>
      </c>
      <c r="F21" s="287" t="str">
        <f>IFERROR(IF(DEGREES(js)&lt;0,"S","N")," ")</f>
        <v>N</v>
      </c>
      <c r="G21" s="1"/>
      <c r="H21" s="1"/>
      <c r="I21" s="195">
        <f t="shared" si="0"/>
        <v>3</v>
      </c>
      <c r="J21" s="196">
        <v>0.1</v>
      </c>
      <c r="K21" s="20"/>
      <c r="L21" s="208" t="s">
        <v>17</v>
      </c>
      <c r="M21" s="262">
        <f>0.016709</f>
        <v>1.6709000000000002E-2</v>
      </c>
      <c r="V21" s="20"/>
    </row>
    <row r="22" spans="1:22" ht="20" customHeight="1" thickBot="1">
      <c r="B22" s="238"/>
      <c r="C22" s="283" t="s">
        <v>87</v>
      </c>
      <c r="D22" s="288">
        <f>IFERROR(INT(ABS(DEGREES(ls)))," ")</f>
        <v>11</v>
      </c>
      <c r="E22" s="289">
        <f>IFERROR(ROUNDDOWN((ABS(DEGREES(ls))-D22),6)*60," ")</f>
        <v>51.537239999999997</v>
      </c>
      <c r="F22" s="290" t="str">
        <f>IFERROR(IF(DEGREES(ls)&lt;0,"W","E")," ")</f>
        <v>W</v>
      </c>
      <c r="G22" s="1"/>
      <c r="H22" s="19"/>
      <c r="I22" s="195">
        <f t="shared" si="0"/>
        <v>4</v>
      </c>
      <c r="J22" s="196">
        <v>0</v>
      </c>
      <c r="K22" s="20"/>
      <c r="L22" s="209" t="s">
        <v>18</v>
      </c>
      <c r="M22" s="263">
        <f>23.4391667</f>
        <v>23.439166700000001</v>
      </c>
      <c r="V22" s="20"/>
    </row>
    <row r="23" spans="1:22" ht="20" customHeight="1">
      <c r="A23" s="3"/>
      <c r="B23" s="239"/>
      <c r="C23" s="284" t="s">
        <v>85</v>
      </c>
      <c r="D23" s="342">
        <f>IFERROR(ot+(360-DEGREES(LHA))/15/24," ")</f>
        <v>0.52623699873163454</v>
      </c>
      <c r="E23" s="342"/>
      <c r="F23" s="291" t="s">
        <v>2</v>
      </c>
      <c r="G23" s="1"/>
      <c r="H23" s="20"/>
      <c r="I23" s="195">
        <f>1+I22</f>
        <v>5</v>
      </c>
      <c r="J23" s="196">
        <v>-0.2</v>
      </c>
      <c r="K23" s="20"/>
      <c r="L23" s="207" t="s">
        <v>19</v>
      </c>
      <c r="M23" s="261">
        <v>0.98564733744010957</v>
      </c>
      <c r="V23" s="20"/>
    </row>
    <row r="24" spans="1:22" ht="20" customHeight="1">
      <c r="A24" s="3"/>
      <c r="B24" s="8"/>
      <c r="C24" s="8"/>
      <c r="D24" s="8"/>
      <c r="E24" s="3"/>
      <c r="F24" s="12"/>
      <c r="G24" s="1"/>
      <c r="H24" s="20"/>
      <c r="I24" s="195">
        <f t="shared" si="0"/>
        <v>6</v>
      </c>
      <c r="J24" s="196">
        <v>-0.2</v>
      </c>
      <c r="K24" s="20"/>
      <c r="L24" s="208" t="s">
        <v>20</v>
      </c>
      <c r="M24" s="262">
        <v>4.706913073237508E-5</v>
      </c>
      <c r="V24" s="20"/>
    </row>
    <row r="25" spans="1:22" ht="20" customHeight="1">
      <c r="A25" s="3"/>
      <c r="B25" s="331" t="s">
        <v>129</v>
      </c>
      <c r="C25" s="8"/>
      <c r="D25" s="8"/>
      <c r="E25" s="3"/>
      <c r="F25" s="12"/>
      <c r="G25" s="1"/>
      <c r="H25" s="20"/>
      <c r="I25" s="195">
        <f t="shared" si="0"/>
        <v>7</v>
      </c>
      <c r="J25" s="196">
        <v>-0.2</v>
      </c>
      <c r="K25" s="20"/>
      <c r="L25" s="208" t="s">
        <v>21</v>
      </c>
      <c r="M25" s="262">
        <v>1.1498973305954826E-9</v>
      </c>
      <c r="V25" s="20"/>
    </row>
    <row r="26" spans="1:22" ht="20" customHeight="1" thickBot="1">
      <c r="G26" s="1"/>
      <c r="H26" s="20"/>
      <c r="I26" s="195">
        <f t="shared" si="0"/>
        <v>8</v>
      </c>
      <c r="J26" s="196">
        <v>-0.2</v>
      </c>
      <c r="K26" s="20"/>
      <c r="L26" s="209" t="s">
        <v>22</v>
      </c>
      <c r="M26" s="263">
        <v>3.5607270514868054E-7</v>
      </c>
      <c r="V26" s="20"/>
    </row>
    <row r="27" spans="1:22" ht="20" customHeight="1" thickBot="1">
      <c r="B27" s="304" t="s">
        <v>66</v>
      </c>
      <c r="C27" s="334">
        <f>E11</f>
        <v>0.41194444444444445</v>
      </c>
      <c r="D27" s="335"/>
      <c r="E27" s="334">
        <f>ot_</f>
        <v>0.55854166666666671</v>
      </c>
      <c r="F27" s="335"/>
      <c r="G27" s="1"/>
      <c r="H27" s="20"/>
      <c r="I27" s="195">
        <f t="shared" si="0"/>
        <v>9</v>
      </c>
      <c r="J27" s="196">
        <v>-0.1</v>
      </c>
      <c r="K27" s="20"/>
      <c r="L27" s="313" t="s">
        <v>23</v>
      </c>
      <c r="M27" s="315">
        <v>36526</v>
      </c>
      <c r="V27" s="20"/>
    </row>
    <row r="28" spans="1:22" ht="20" customHeight="1">
      <c r="B28" s="294" t="s">
        <v>88</v>
      </c>
      <c r="C28" s="295">
        <f>INT(DEGREES(grt))</f>
        <v>330</v>
      </c>
      <c r="D28" s="296">
        <f>(DEGREES(grt)-C28)*60</f>
        <v>53.95790200843976</v>
      </c>
      <c r="E28" s="295">
        <f>INT(DEGREES(grt_))</f>
        <v>23</v>
      </c>
      <c r="F28" s="296">
        <f>(DEGREES(grt_)-E28)*60</f>
        <v>41.164230101711681</v>
      </c>
      <c r="G28" s="1"/>
      <c r="H28" s="1"/>
      <c r="I28" s="195">
        <f t="shared" si="0"/>
        <v>10</v>
      </c>
      <c r="J28" s="196">
        <v>0.1</v>
      </c>
      <c r="K28" s="20"/>
      <c r="V28" s="20"/>
    </row>
    <row r="29" spans="1:22" ht="20" customHeight="1">
      <c r="B29" s="297" t="s">
        <v>115</v>
      </c>
      <c r="C29" s="298">
        <f>ROUNDDOWN(DEGREES(d),0)</f>
        <v>-3</v>
      </c>
      <c r="D29" s="299">
        <f>(ABS(DEGREES(d))-ABS(C29))*60</f>
        <v>21.823262383375628</v>
      </c>
      <c r="E29" s="298">
        <f>ROUNDDOWN(DEGREES(d_),0)</f>
        <v>-3</v>
      </c>
      <c r="F29" s="299">
        <f>(ABS(DEGREES(d_))-ABS(E29))*60</f>
        <v>25.230789615580818</v>
      </c>
      <c r="G29" s="1"/>
      <c r="H29" s="1"/>
      <c r="I29" s="195">
        <f t="shared" si="0"/>
        <v>11</v>
      </c>
      <c r="J29" s="196">
        <v>0.2</v>
      </c>
      <c r="K29" s="20"/>
      <c r="V29" s="20"/>
    </row>
    <row r="30" spans="1:22" ht="20" customHeight="1" thickBot="1">
      <c r="B30" s="297" t="s">
        <v>1</v>
      </c>
      <c r="C30" s="298">
        <f>IFERROR(ROUNDDOWN(DEGREES(LHA),0)," ")</f>
        <v>318</v>
      </c>
      <c r="D30" s="299">
        <f>IFERROR((DEGREES(LHA)-C30)*60," ")</f>
        <v>51.280827396693667</v>
      </c>
      <c r="E30" s="298">
        <f>IFERROR(ROUNDDOWN(DEGREES(LHA_),0)," ")</f>
        <v>11</v>
      </c>
      <c r="F30" s="299">
        <f>IFERROR((DEGREES(LHA_)-E30)*60," ")</f>
        <v>49.626976093070461</v>
      </c>
      <c r="G30" s="1"/>
      <c r="I30" s="197">
        <f t="shared" si="0"/>
        <v>12</v>
      </c>
      <c r="J30" s="198">
        <v>0.3</v>
      </c>
      <c r="K30" s="20"/>
      <c r="V30" s="20"/>
    </row>
    <row r="31" spans="1:22" ht="20" customHeight="1">
      <c r="B31" s="297" t="s">
        <v>67</v>
      </c>
      <c r="C31" s="298">
        <f>IFERROR(INT(DEGREES(Az))," ")</f>
        <v>125</v>
      </c>
      <c r="D31" s="299">
        <f>IFERROR((DEGREES(Az)-C31)*60," ")</f>
        <v>19.101207462283867</v>
      </c>
      <c r="E31" s="298">
        <f>IFERROR(INT(DEGREES(z_))," ")</f>
        <v>199</v>
      </c>
      <c r="F31" s="299">
        <f>IFERROR((DEGREES(z_)-E31)*60," ")</f>
        <v>6.9408492280365408</v>
      </c>
      <c r="I31" s="336" t="s">
        <v>60</v>
      </c>
      <c r="J31" s="314" t="s">
        <v>59</v>
      </c>
      <c r="K31" s="20"/>
      <c r="V31" s="20"/>
    </row>
    <row r="32" spans="1:22" ht="20" customHeight="1" thickBot="1">
      <c r="B32" s="300" t="s">
        <v>68</v>
      </c>
      <c r="C32" s="301">
        <f>INT(N7)</f>
        <v>36</v>
      </c>
      <c r="D32" s="302">
        <f>(N7-C32)*60</f>
        <v>23.414459065780875</v>
      </c>
      <c r="E32" s="303">
        <f>INT(N8)</f>
        <v>51</v>
      </c>
      <c r="F32" s="302">
        <f>(N8-E32)*60</f>
        <v>20.126249621745842</v>
      </c>
      <c r="I32" s="337"/>
      <c r="J32" s="264">
        <f>MONTH(E10)</f>
        <v>10</v>
      </c>
      <c r="K32" s="20"/>
      <c r="V32" s="20"/>
    </row>
    <row r="33" spans="7:31" ht="20" customHeight="1">
      <c r="K33" s="20"/>
      <c r="V33" s="20"/>
    </row>
    <row r="34" spans="7:31" ht="20" customHeight="1">
      <c r="K34" s="20"/>
      <c r="V34" s="20"/>
    </row>
    <row r="35" spans="7:31" ht="20" customHeight="1">
      <c r="G35" s="175"/>
      <c r="K35" s="20"/>
      <c r="V35" s="20"/>
    </row>
    <row r="36" spans="7:31">
      <c r="K36" s="20"/>
      <c r="V36" s="20"/>
    </row>
    <row r="37" spans="7:31">
      <c r="K37" s="20"/>
      <c r="V37" s="20"/>
    </row>
    <row r="38" spans="7:31">
      <c r="K38" s="20"/>
      <c r="V38" s="20"/>
    </row>
    <row r="39" spans="7:31">
      <c r="K39" s="20"/>
      <c r="V39" s="20"/>
      <c r="AE39" s="172"/>
    </row>
    <row r="40" spans="7:31">
      <c r="K40" s="20"/>
      <c r="V40" s="20"/>
    </row>
    <row r="41" spans="7:31">
      <c r="K41" s="20"/>
      <c r="V41" s="20"/>
      <c r="Z41" s="20"/>
      <c r="AA41" s="20"/>
      <c r="AB41" s="20"/>
      <c r="AC41" s="20"/>
      <c r="AD41" s="20"/>
    </row>
    <row r="42" spans="7:31">
      <c r="K42" s="20"/>
      <c r="Q42" s="1"/>
      <c r="R42" s="1"/>
      <c r="S42" s="1"/>
      <c r="T42" s="1"/>
      <c r="U42" s="1"/>
      <c r="V42" s="1"/>
      <c r="Z42" s="1"/>
      <c r="AA42" s="1"/>
      <c r="AB42" s="1"/>
      <c r="AC42" s="1"/>
      <c r="AD42" s="1"/>
    </row>
    <row r="43" spans="7:31">
      <c r="K43" s="20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</row>
    <row r="44" spans="7:31">
      <c r="K44" s="20"/>
    </row>
    <row r="45" spans="7:31">
      <c r="K45" s="20"/>
    </row>
    <row r="46" spans="7:31">
      <c r="K46" s="20"/>
    </row>
    <row r="47" spans="7:31">
      <c r="K47" s="20"/>
    </row>
    <row r="48" spans="7:31">
      <c r="K48" s="20"/>
    </row>
    <row r="49" spans="4:22">
      <c r="K49" s="20"/>
    </row>
    <row r="50" spans="4:22" ht="17">
      <c r="D50" s="246"/>
      <c r="E50" s="247" t="s">
        <v>111</v>
      </c>
      <c r="F50" s="316">
        <v>0.5</v>
      </c>
      <c r="K50" s="20"/>
      <c r="V50" s="9"/>
    </row>
    <row r="51" spans="4:22">
      <c r="K51" s="20"/>
      <c r="Q51" s="172"/>
      <c r="R51" s="173"/>
      <c r="V51" s="9"/>
    </row>
    <row r="52" spans="4:22">
      <c r="K52" s="20"/>
      <c r="R52" s="173"/>
      <c r="V52" s="9"/>
    </row>
    <row r="53" spans="4:22">
      <c r="K53" s="20"/>
      <c r="R53" s="173"/>
      <c r="V53" s="9"/>
    </row>
    <row r="54" spans="4:22">
      <c r="K54" s="20"/>
      <c r="R54" s="173"/>
      <c r="V54" s="9"/>
    </row>
    <row r="55" spans="4:22">
      <c r="K55" s="20"/>
      <c r="R55" s="173"/>
      <c r="V55" s="9"/>
    </row>
    <row r="56" spans="4:22">
      <c r="K56" s="20"/>
      <c r="R56" s="173"/>
      <c r="V56" s="9"/>
    </row>
    <row r="57" spans="4:22">
      <c r="K57" s="20"/>
      <c r="R57" s="173"/>
      <c r="V57" s="9"/>
    </row>
    <row r="58" spans="4:22">
      <c r="K58" s="20"/>
      <c r="R58" s="173"/>
      <c r="V58" s="9"/>
    </row>
    <row r="59" spans="4:22">
      <c r="K59" s="20"/>
      <c r="R59" s="173"/>
      <c r="V59" s="9"/>
    </row>
    <row r="60" spans="4:22">
      <c r="R60" s="173"/>
      <c r="V60" s="9"/>
    </row>
    <row r="61" spans="4:22">
      <c r="R61" s="173"/>
      <c r="V61" s="9"/>
    </row>
    <row r="62" spans="4:22">
      <c r="R62" s="173"/>
      <c r="V62" s="9"/>
    </row>
    <row r="63" spans="4:22">
      <c r="R63" s="173"/>
      <c r="V63" s="9"/>
    </row>
    <row r="64" spans="4:22">
      <c r="M64" s="174"/>
      <c r="R64" s="173"/>
      <c r="V64" s="9"/>
    </row>
    <row r="65" spans="13:22">
      <c r="M65" s="174"/>
      <c r="R65" s="173"/>
      <c r="V65" s="9"/>
    </row>
    <row r="66" spans="13:22">
      <c r="M66" s="174"/>
      <c r="N66" s="173"/>
      <c r="O66" s="173"/>
      <c r="P66" s="173"/>
      <c r="R66" s="173"/>
      <c r="V66" s="9"/>
    </row>
    <row r="67" spans="13:22">
      <c r="M67" s="174"/>
      <c r="N67" s="173"/>
      <c r="O67" s="173"/>
      <c r="P67" s="173"/>
      <c r="R67" s="173"/>
      <c r="V67" s="9"/>
    </row>
    <row r="68" spans="13:22">
      <c r="M68" s="174"/>
      <c r="N68" s="173"/>
      <c r="O68" s="173"/>
      <c r="P68" s="173"/>
      <c r="R68" s="173"/>
      <c r="V68" s="9"/>
    </row>
    <row r="69" spans="13:22">
      <c r="M69" s="174"/>
      <c r="N69" s="173"/>
      <c r="O69" s="173"/>
      <c r="P69" s="173"/>
      <c r="R69" s="173"/>
      <c r="V69" s="9"/>
    </row>
    <row r="70" spans="13:22">
      <c r="M70" s="174"/>
      <c r="N70" s="173"/>
      <c r="O70" s="173"/>
      <c r="P70" s="173"/>
      <c r="R70" s="173"/>
      <c r="V70" s="9"/>
    </row>
    <row r="71" spans="13:22">
      <c r="M71" s="174"/>
      <c r="N71" s="173"/>
      <c r="O71" s="173"/>
      <c r="P71" s="173"/>
      <c r="R71" s="173"/>
      <c r="V71" s="9"/>
    </row>
    <row r="72" spans="13:22">
      <c r="N72" s="173"/>
      <c r="O72" s="173"/>
      <c r="P72" s="173"/>
      <c r="R72" s="173"/>
      <c r="V72" s="9"/>
    </row>
    <row r="73" spans="13:22">
      <c r="N73" s="173"/>
      <c r="O73" s="173"/>
      <c r="P73" s="173"/>
      <c r="R73" s="173"/>
      <c r="V73" s="9"/>
    </row>
    <row r="74" spans="13:22">
      <c r="R74" s="173"/>
      <c r="V74" s="9"/>
    </row>
    <row r="75" spans="13:22">
      <c r="R75" s="173"/>
      <c r="V75" s="9"/>
    </row>
    <row r="76" spans="13:22">
      <c r="R76" s="173"/>
      <c r="V76" s="9"/>
    </row>
    <row r="77" spans="13:22">
      <c r="R77" s="173"/>
      <c r="V77" s="9"/>
    </row>
    <row r="78" spans="13:22">
      <c r="Q78" s="173"/>
      <c r="R78" s="173"/>
      <c r="V78" s="9"/>
    </row>
    <row r="79" spans="13:22">
      <c r="Q79" s="173"/>
      <c r="R79" s="173"/>
      <c r="V79" s="9"/>
    </row>
    <row r="80" spans="13:22">
      <c r="Q80" s="173"/>
      <c r="R80" s="173"/>
      <c r="V80" s="9"/>
    </row>
    <row r="81" spans="17:22">
      <c r="Q81" s="173"/>
      <c r="R81" s="173"/>
      <c r="V81" s="9"/>
    </row>
    <row r="82" spans="17:22">
      <c r="Q82" s="173"/>
      <c r="R82" s="173"/>
      <c r="V82" s="9"/>
    </row>
    <row r="83" spans="17:22">
      <c r="Q83" s="173"/>
      <c r="R83" s="173"/>
      <c r="V83" s="9"/>
    </row>
    <row r="84" spans="17:22">
      <c r="Q84" s="173"/>
      <c r="R84" s="173"/>
      <c r="V84" s="9"/>
    </row>
    <row r="85" spans="17:22">
      <c r="Q85" s="173"/>
      <c r="R85" s="173"/>
      <c r="V85" s="9"/>
    </row>
    <row r="86" spans="17:22">
      <c r="V86" s="9"/>
    </row>
    <row r="87" spans="17:22">
      <c r="V87" s="9"/>
    </row>
    <row r="88" spans="17:22">
      <c r="V88" s="9"/>
    </row>
    <row r="89" spans="17:22">
      <c r="V89" s="9"/>
    </row>
    <row r="90" spans="17:22">
      <c r="V90" s="9"/>
    </row>
    <row r="91" spans="17:22">
      <c r="V91" s="9"/>
    </row>
    <row r="92" spans="17:22">
      <c r="V92" s="9"/>
    </row>
  </sheetData>
  <sheetProtection algorithmName="SHA-512" hashValue="eZ89mCRHlSybyLDIR/tVNVeG2Ua+8PFoullr7tk7SDpS2hX+xv7ESAdIfH+/KLlnCXlUg9oJi7l1Tboal69Ggw==" saltValue="SYfK1YUANNmSLHaEpgMvFg==" spinCount="100000" sheet="1" objects="1" scenarios="1" selectLockedCells="1"/>
  <mergeCells count="9">
    <mergeCell ref="D6:E6"/>
    <mergeCell ref="C27:D27"/>
    <mergeCell ref="E27:F27"/>
    <mergeCell ref="I31:I32"/>
    <mergeCell ref="E14:F14"/>
    <mergeCell ref="E15:F15"/>
    <mergeCell ref="D23:E23"/>
    <mergeCell ref="E10:F10"/>
    <mergeCell ref="E11:F11"/>
  </mergeCells>
  <pageMargins left="0.7" right="0.7" top="0.78740157499999996" bottom="0.78740157499999996" header="0.3" footer="0.3"/>
  <pageSetup paperSize="9" orientation="portrait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FBE153-CB63-C74B-98F7-7BA9F0E28284}">
  <dimension ref="A1:T60"/>
  <sheetViews>
    <sheetView workbookViewId="0">
      <selection activeCell="J34" sqref="J34"/>
    </sheetView>
  </sheetViews>
  <sheetFormatPr baseColWidth="10" defaultRowHeight="16"/>
  <sheetData>
    <row r="1" spans="1:20" ht="17" thickBot="1">
      <c r="A1" s="3"/>
      <c r="B1" s="3"/>
      <c r="C1" s="3"/>
      <c r="D1" s="3"/>
      <c r="E1" s="3"/>
      <c r="F1" s="3"/>
      <c r="G1" s="3"/>
      <c r="H1" s="3"/>
      <c r="I1" s="22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21" thickBot="1">
      <c r="A2" s="3"/>
      <c r="B2" s="23" t="s">
        <v>95</v>
      </c>
      <c r="C2" s="3"/>
      <c r="D2" s="3"/>
      <c r="E2" s="3"/>
      <c r="F2" s="347" t="s">
        <v>89</v>
      </c>
      <c r="G2" s="348"/>
      <c r="H2" s="349"/>
      <c r="I2" s="22"/>
      <c r="J2" s="10" t="s">
        <v>94</v>
      </c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>
      <c r="A3" s="3"/>
      <c r="B3" s="3"/>
      <c r="C3" s="3"/>
      <c r="D3" s="3"/>
      <c r="E3" s="3"/>
      <c r="F3" s="3"/>
      <c r="G3" s="3"/>
      <c r="H3" s="3"/>
      <c r="I3" s="22"/>
      <c r="J3" s="350" t="s">
        <v>76</v>
      </c>
      <c r="K3" s="351"/>
      <c r="L3" s="351"/>
      <c r="M3" s="24">
        <f>cmg</f>
        <v>190</v>
      </c>
      <c r="N3" s="25"/>
      <c r="O3" s="26"/>
      <c r="P3" s="3"/>
      <c r="Q3" s="3"/>
      <c r="R3" s="3"/>
      <c r="S3" s="3"/>
      <c r="T3" s="3"/>
    </row>
    <row r="4" spans="1:20">
      <c r="A4" s="3"/>
      <c r="B4" s="3"/>
      <c r="C4" s="3"/>
      <c r="D4" s="3"/>
      <c r="E4" s="3"/>
      <c r="F4" s="3"/>
      <c r="G4" s="3"/>
      <c r="H4" s="3"/>
      <c r="I4" s="22"/>
      <c r="J4" s="352" t="s">
        <v>75</v>
      </c>
      <c r="K4" s="353"/>
      <c r="L4" s="353"/>
      <c r="M4" s="27">
        <f>dmg</f>
        <v>22</v>
      </c>
      <c r="N4" s="28" t="s">
        <v>3</v>
      </c>
      <c r="O4" s="29"/>
      <c r="P4" s="3"/>
      <c r="Q4" s="3"/>
      <c r="R4" s="3"/>
      <c r="S4" s="3"/>
      <c r="T4" s="3"/>
    </row>
    <row r="5" spans="1:20" ht="16" customHeight="1">
      <c r="A5" s="3"/>
      <c r="B5" s="3"/>
      <c r="C5" s="3"/>
      <c r="D5" s="3"/>
      <c r="E5" s="3"/>
      <c r="F5" s="3"/>
      <c r="G5" s="3"/>
      <c r="H5" s="3"/>
      <c r="I5" s="22"/>
      <c r="J5" s="352" t="s">
        <v>91</v>
      </c>
      <c r="K5" s="353"/>
      <c r="L5" s="353"/>
      <c r="M5" s="27">
        <f>dmg*COS(RADIANS(cmg))</f>
        <v>-21.665770566268577</v>
      </c>
      <c r="N5" s="30" t="s">
        <v>3</v>
      </c>
      <c r="O5" s="31">
        <f>M5/60</f>
        <v>-0.36109617610447631</v>
      </c>
      <c r="P5" s="3"/>
      <c r="Q5" s="3"/>
      <c r="R5" s="32"/>
      <c r="S5" s="3"/>
      <c r="T5" s="3"/>
    </row>
    <row r="6" spans="1:20" ht="16" customHeight="1">
      <c r="A6" s="3"/>
      <c r="B6" s="3"/>
      <c r="C6" s="3"/>
      <c r="D6" s="3"/>
      <c r="E6" s="3"/>
      <c r="F6" s="3"/>
      <c r="G6" s="3"/>
      <c r="H6" s="3"/>
      <c r="I6" s="22"/>
      <c r="J6" s="352" t="s">
        <v>92</v>
      </c>
      <c r="K6" s="353"/>
      <c r="L6" s="353"/>
      <c r="M6" s="27">
        <f>dmg*SIN(RADIANS(cmg))</f>
        <v>-3.8202599086724702</v>
      </c>
      <c r="N6" s="30" t="s">
        <v>3</v>
      </c>
      <c r="O6" s="31">
        <f>M6/60/COS(RADIANS(DEGREES(js)))</f>
        <v>-7.6438872890185638E-2</v>
      </c>
      <c r="P6" s="3"/>
      <c r="Q6" s="3"/>
      <c r="R6" s="32"/>
      <c r="S6" s="3"/>
      <c r="T6" s="3"/>
    </row>
    <row r="7" spans="1:20" ht="16" customHeight="1">
      <c r="A7" s="3"/>
      <c r="B7" s="3"/>
      <c r="C7" s="3"/>
      <c r="D7" s="3"/>
      <c r="E7" s="3"/>
      <c r="F7" s="3"/>
      <c r="G7" s="3"/>
      <c r="H7" s="3"/>
      <c r="I7" s="22"/>
      <c r="J7" s="33"/>
      <c r="K7" s="13"/>
      <c r="L7" s="34" t="s">
        <v>93</v>
      </c>
      <c r="M7" s="35">
        <f>ABS(Navigation!F50)/40</f>
        <v>1.2500000000000001E-2</v>
      </c>
      <c r="N7" s="13"/>
      <c r="O7" s="36"/>
      <c r="P7" s="3"/>
      <c r="Q7" s="3"/>
      <c r="R7" s="3"/>
      <c r="S7" s="3"/>
      <c r="T7" s="3"/>
    </row>
    <row r="8" spans="1:20" ht="16" customHeight="1">
      <c r="A8" s="3"/>
      <c r="B8" s="3"/>
      <c r="C8" s="3"/>
      <c r="D8" s="3"/>
      <c r="E8" s="3"/>
      <c r="F8" s="3"/>
      <c r="G8" s="3"/>
      <c r="H8" s="3"/>
      <c r="I8" s="22"/>
      <c r="J8" s="37"/>
      <c r="K8" s="3"/>
      <c r="L8" s="38" t="s">
        <v>4</v>
      </c>
      <c r="M8" s="11" t="str">
        <f>IF(DEGREES(LHA)&gt;180,"E","W")</f>
        <v>E</v>
      </c>
      <c r="N8" s="3"/>
      <c r="O8" s="39"/>
      <c r="P8" s="3"/>
      <c r="Q8" s="3"/>
      <c r="R8" s="3"/>
      <c r="S8" s="3"/>
      <c r="T8" s="3"/>
    </row>
    <row r="9" spans="1:20" ht="16" customHeight="1" thickBot="1">
      <c r="A9" s="3"/>
      <c r="B9" s="3"/>
      <c r="C9" s="3"/>
      <c r="D9" s="3"/>
      <c r="E9" s="3"/>
      <c r="F9" s="3"/>
      <c r="G9" s="3"/>
      <c r="H9" s="3"/>
      <c r="I9" s="22"/>
      <c r="J9" s="40"/>
      <c r="K9" s="41"/>
      <c r="L9" s="42" t="s">
        <v>5</v>
      </c>
      <c r="M9" s="43" t="str">
        <f>IF(DEGREES(LHA_)&lt;180,"W","E")</f>
        <v>W</v>
      </c>
      <c r="N9" s="41"/>
      <c r="O9" s="44"/>
      <c r="P9" s="3"/>
      <c r="Q9" s="3"/>
      <c r="R9" s="3"/>
      <c r="S9" s="3"/>
      <c r="T9" s="3"/>
    </row>
    <row r="10" spans="1:20" ht="16" customHeight="1">
      <c r="A10" s="3"/>
      <c r="B10" s="3"/>
      <c r="C10" s="3"/>
      <c r="D10" s="3"/>
      <c r="E10" s="3"/>
      <c r="F10" s="3"/>
      <c r="G10" s="3"/>
      <c r="H10" s="3"/>
      <c r="I10" s="22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6" customHeight="1" thickBot="1">
      <c r="A11" s="3"/>
      <c r="B11" s="3"/>
      <c r="C11" s="3"/>
      <c r="D11" s="3"/>
      <c r="E11" s="3"/>
      <c r="F11" s="3"/>
      <c r="G11" s="3"/>
      <c r="H11" s="3"/>
      <c r="I11" s="22"/>
      <c r="J11" s="10" t="s">
        <v>90</v>
      </c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6" customHeight="1" thickBot="1">
      <c r="A12" s="3"/>
      <c r="B12" s="3"/>
      <c r="C12" s="3"/>
      <c r="D12" s="3"/>
      <c r="E12" s="3"/>
      <c r="F12" s="3"/>
      <c r="G12" s="3"/>
      <c r="H12" s="3"/>
      <c r="I12" s="22"/>
      <c r="J12" s="45" t="s">
        <v>6</v>
      </c>
      <c r="K12" s="46" t="s">
        <v>8</v>
      </c>
      <c r="L12" s="82" t="s">
        <v>9</v>
      </c>
      <c r="M12" s="82" t="s">
        <v>10</v>
      </c>
      <c r="N12" s="82" t="s">
        <v>11</v>
      </c>
      <c r="O12" s="47" t="s">
        <v>12</v>
      </c>
      <c r="P12" s="47" t="s">
        <v>13</v>
      </c>
      <c r="Q12" s="48" t="s">
        <v>7</v>
      </c>
      <c r="R12" s="83" t="s">
        <v>14</v>
      </c>
      <c r="S12" s="3"/>
      <c r="T12" s="3"/>
    </row>
    <row r="13" spans="1:20" ht="16" customHeight="1">
      <c r="A13" s="3"/>
      <c r="B13" s="3"/>
      <c r="C13" s="3"/>
      <c r="D13" s="3"/>
      <c r="E13" s="3"/>
      <c r="F13" s="3"/>
      <c r="G13" s="3"/>
      <c r="H13" s="3"/>
      <c r="I13" s="22"/>
      <c r="J13" s="49"/>
      <c r="K13" s="50"/>
      <c r="L13" s="50"/>
      <c r="M13" s="50"/>
      <c r="N13" s="50"/>
      <c r="O13" s="51"/>
      <c r="P13" s="52"/>
      <c r="Q13" s="53"/>
      <c r="R13" s="54"/>
      <c r="S13" s="3"/>
      <c r="T13" s="3"/>
    </row>
    <row r="14" spans="1:20" ht="16" customHeight="1">
      <c r="A14" s="3"/>
      <c r="B14" s="3"/>
      <c r="C14" s="3"/>
      <c r="D14" s="3"/>
      <c r="E14" s="3"/>
      <c r="F14" s="3"/>
      <c r="G14" s="3"/>
      <c r="H14" s="3"/>
      <c r="I14" s="22"/>
      <c r="J14" s="55">
        <f>J15+$M$7</f>
        <v>34.025891565143034</v>
      </c>
      <c r="K14" s="56">
        <f t="shared" ref="K14:K54" si="0">RADIANS(J14)</f>
        <v>0.59386383873831261</v>
      </c>
      <c r="L14" s="56">
        <f>IFERROR(DEGREES(grt+IF(B="W",-1,1)*ACOS((SIN(h)-SIN(d)*SIN(K14))/COS(d)/COS(K14))),#N/A)</f>
        <v>371.71954865020797</v>
      </c>
      <c r="M14" s="56">
        <f>IFERROR(DEGREES(grt_+IF(B_="W",-1,1)*ACOS((SIN(h_)-SIN(d_)*SIN(K14))/COS(d_)/COS(K14))),#N/A)</f>
        <v>13.474203689607311</v>
      </c>
      <c r="N14" s="56">
        <f t="shared" ref="N14:N54" si="1">IFERROR(DEGREES(grt+IF(B="W",-1,1)*ACOS((SIN(hs)-SIN(d)*SIN(K14))/COS(d)/COS(K14))),#N/A)</f>
        <v>371.48583934810813</v>
      </c>
      <c r="O14" s="57">
        <f t="shared" ref="O14:Q36" si="2">IF(L14&lt;0,ABS(L14),IF(L14&gt;360,-(L14-360),IF(AND(L14&gt;180,L14&lt;360),360-L14,-L14)))</f>
        <v>-11.719548650207969</v>
      </c>
      <c r="P14" s="58">
        <f>IF(M14&lt;0,ABS(M14),IF(M14&gt;360,-(M14-360),IF(AND(M14&gt;180,M14&lt;360),360-M14,-M14)))</f>
        <v>-13.474203689607311</v>
      </c>
      <c r="Q14" s="59">
        <f>IF(N14&lt;0,ABS(N14),IF(N14&gt;360,-(N14-360),IF(AND(N14&gt;180,N14&lt;360),360-N14,-N14)))</f>
        <v>-11.485839348108129</v>
      </c>
      <c r="R14" s="60"/>
      <c r="S14" s="3"/>
      <c r="T14" s="3"/>
    </row>
    <row r="15" spans="1:20" ht="16" customHeight="1">
      <c r="A15" s="3"/>
      <c r="B15" s="3"/>
      <c r="C15" s="3"/>
      <c r="D15" s="3"/>
      <c r="E15" s="3"/>
      <c r="F15" s="3"/>
      <c r="G15" s="3"/>
      <c r="H15" s="3"/>
      <c r="I15" s="22"/>
      <c r="J15" s="55">
        <f>J16+$M$7</f>
        <v>34.013391565143031</v>
      </c>
      <c r="K15" s="56">
        <f t="shared" si="0"/>
        <v>0.59364567258181322</v>
      </c>
      <c r="L15" s="56">
        <f t="shared" ref="L15:L38" si="3">IFERROR(DEGREES(grt+IF(B="W",-1,1)*ACOS((SIN(h)-SIN(d)*SIN(K15))/COS(d)/COS(K15))),#N/A)</f>
        <v>371.73043863550799</v>
      </c>
      <c r="M15" s="56">
        <f t="shared" ref="M15:M54" si="4">IFERROR(DEGREES(grt_+IF(B_="W",-1,1)*ACOS((SIN(h_)-SIN(d_)*SIN(K15))/COS(d_)/COS(K15))),#N/A)</f>
        <v>13.423280367096577</v>
      </c>
      <c r="N15" s="56">
        <f t="shared" si="1"/>
        <v>371.49681556604429</v>
      </c>
      <c r="O15" s="57">
        <f t="shared" si="2"/>
        <v>-11.730438635507994</v>
      </c>
      <c r="P15" s="58">
        <f t="shared" si="2"/>
        <v>-13.423280367096577</v>
      </c>
      <c r="Q15" s="59">
        <f t="shared" si="2"/>
        <v>-11.49681556604429</v>
      </c>
      <c r="R15" s="60"/>
      <c r="S15" s="3"/>
      <c r="T15" s="3"/>
    </row>
    <row r="16" spans="1:20" ht="16" customHeight="1">
      <c r="A16" s="3"/>
      <c r="B16" s="3"/>
      <c r="C16" s="3"/>
      <c r="D16" s="3"/>
      <c r="E16" s="3"/>
      <c r="F16" s="3"/>
      <c r="G16" s="3"/>
      <c r="H16" s="3"/>
      <c r="I16" s="22"/>
      <c r="J16" s="55">
        <f t="shared" ref="J16:J31" si="5">J17+$M$7</f>
        <v>34.000891565143029</v>
      </c>
      <c r="K16" s="56">
        <f t="shared" si="0"/>
        <v>0.59342750642531394</v>
      </c>
      <c r="L16" s="56">
        <f t="shared" si="3"/>
        <v>371.74132003159968</v>
      </c>
      <c r="M16" s="56">
        <f t="shared" si="4"/>
        <v>13.372635051968413</v>
      </c>
      <c r="N16" s="56">
        <f t="shared" si="1"/>
        <v>371.50778308586717</v>
      </c>
      <c r="O16" s="57">
        <f t="shared" si="2"/>
        <v>-11.741320031599685</v>
      </c>
      <c r="P16" s="58">
        <f t="shared" si="2"/>
        <v>-13.372635051968413</v>
      </c>
      <c r="Q16" s="59">
        <f t="shared" si="2"/>
        <v>-11.507783085867175</v>
      </c>
      <c r="R16" s="60"/>
      <c r="S16" s="3"/>
      <c r="T16" s="3"/>
    </row>
    <row r="17" spans="1:20" ht="16" customHeight="1">
      <c r="A17" s="3"/>
      <c r="B17" s="3"/>
      <c r="C17" s="3"/>
      <c r="D17" s="3"/>
      <c r="E17" s="3"/>
      <c r="F17" s="3"/>
      <c r="G17" s="3"/>
      <c r="H17" s="3"/>
      <c r="I17" s="22"/>
      <c r="J17" s="55">
        <f t="shared" si="5"/>
        <v>33.988391565143026</v>
      </c>
      <c r="K17" s="56">
        <f t="shared" si="0"/>
        <v>0.59320934026881456</v>
      </c>
      <c r="L17" s="56">
        <f t="shared" si="3"/>
        <v>371.75219284830519</v>
      </c>
      <c r="M17" s="56">
        <f t="shared" si="4"/>
        <v>13.322263655218185</v>
      </c>
      <c r="N17" s="56">
        <f t="shared" si="1"/>
        <v>371.51874191760356</v>
      </c>
      <c r="O17" s="57">
        <f t="shared" si="2"/>
        <v>-11.752192848305185</v>
      </c>
      <c r="P17" s="58">
        <f t="shared" si="2"/>
        <v>-13.322263655218185</v>
      </c>
      <c r="Q17" s="59">
        <f t="shared" si="2"/>
        <v>-11.518741917603563</v>
      </c>
      <c r="R17" s="60"/>
      <c r="S17" s="3"/>
      <c r="T17" s="3"/>
    </row>
    <row r="18" spans="1:20" ht="16" customHeight="1">
      <c r="A18" s="3"/>
      <c r="B18" s="3"/>
      <c r="C18" s="3"/>
      <c r="D18" s="3"/>
      <c r="E18" s="3"/>
      <c r="F18" s="3"/>
      <c r="G18" s="3"/>
      <c r="H18" s="3"/>
      <c r="I18" s="22"/>
      <c r="J18" s="55">
        <f t="shared" si="5"/>
        <v>33.975891565143023</v>
      </c>
      <c r="K18" s="56">
        <f t="shared" si="0"/>
        <v>0.59299117411231528</v>
      </c>
      <c r="L18" s="56">
        <f t="shared" si="3"/>
        <v>371.76305709542811</v>
      </c>
      <c r="M18" s="56">
        <f t="shared" si="4"/>
        <v>13.272162188796875</v>
      </c>
      <c r="N18" s="56">
        <f t="shared" si="1"/>
        <v>371.52969207126159</v>
      </c>
      <c r="O18" s="57">
        <f t="shared" si="2"/>
        <v>-11.76305709542811</v>
      </c>
      <c r="P18" s="58">
        <f t="shared" si="2"/>
        <v>-13.272162188796875</v>
      </c>
      <c r="Q18" s="59">
        <f t="shared" si="2"/>
        <v>-11.529692071261593</v>
      </c>
      <c r="R18" s="60"/>
      <c r="S18" s="3"/>
      <c r="T18" s="3"/>
    </row>
    <row r="19" spans="1:20" ht="16" customHeight="1">
      <c r="A19" s="3"/>
      <c r="B19" s="3"/>
      <c r="C19" s="3"/>
      <c r="D19" s="3"/>
      <c r="E19" s="3"/>
      <c r="F19" s="3"/>
      <c r="G19" s="3"/>
      <c r="H19" s="3"/>
      <c r="I19" s="22"/>
      <c r="J19" s="55">
        <f t="shared" si="5"/>
        <v>33.96339156514302</v>
      </c>
      <c r="K19" s="56">
        <f t="shared" si="0"/>
        <v>0.59277300795581589</v>
      </c>
      <c r="L19" s="56">
        <f t="shared" si="3"/>
        <v>371.77391278275365</v>
      </c>
      <c r="M19" s="56">
        <f t="shared" si="4"/>
        <v>13.22232676214491</v>
      </c>
      <c r="N19" s="56">
        <f t="shared" si="1"/>
        <v>371.54063355683019</v>
      </c>
      <c r="O19" s="57">
        <f t="shared" si="2"/>
        <v>-11.773912782753655</v>
      </c>
      <c r="P19" s="58">
        <f t="shared" si="2"/>
        <v>-13.22232676214491</v>
      </c>
      <c r="Q19" s="59">
        <f t="shared" si="2"/>
        <v>-11.540633556830187</v>
      </c>
      <c r="R19" s="60"/>
      <c r="S19" s="3"/>
      <c r="T19" s="3"/>
    </row>
    <row r="20" spans="1:20" ht="16" customHeight="1">
      <c r="A20" s="3"/>
      <c r="B20" s="3"/>
      <c r="C20" s="3"/>
      <c r="D20" s="3"/>
      <c r="E20" s="3"/>
      <c r="F20" s="3"/>
      <c r="G20" s="3"/>
      <c r="H20" s="3"/>
      <c r="I20" s="22"/>
      <c r="J20" s="55">
        <f t="shared" si="5"/>
        <v>33.950891565143017</v>
      </c>
      <c r="K20" s="56">
        <f t="shared" si="0"/>
        <v>0.5925548417993165</v>
      </c>
      <c r="L20" s="56">
        <f t="shared" si="3"/>
        <v>371.78475992004883</v>
      </c>
      <c r="M20" s="56">
        <f t="shared" si="4"/>
        <v>13.172753578876488</v>
      </c>
      <c r="N20" s="56">
        <f t="shared" si="1"/>
        <v>371.55156638427945</v>
      </c>
      <c r="O20" s="57">
        <f t="shared" si="2"/>
        <v>-11.784759920048828</v>
      </c>
      <c r="P20" s="58">
        <f t="shared" si="2"/>
        <v>-13.172753578876488</v>
      </c>
      <c r="Q20" s="59">
        <f t="shared" si="2"/>
        <v>-11.551566384279454</v>
      </c>
      <c r="R20" s="60"/>
      <c r="S20" s="3"/>
      <c r="T20" s="3"/>
    </row>
    <row r="21" spans="1:20" ht="16" customHeight="1">
      <c r="A21" s="3"/>
      <c r="B21" s="3"/>
      <c r="C21" s="3"/>
      <c r="D21" s="3"/>
      <c r="E21" s="3"/>
      <c r="F21" s="3"/>
      <c r="G21" s="3"/>
      <c r="H21" s="3"/>
      <c r="I21" s="22"/>
      <c r="J21" s="55">
        <f t="shared" si="5"/>
        <v>33.938391565143014</v>
      </c>
      <c r="K21" s="56">
        <f t="shared" si="0"/>
        <v>0.59233667564281722</v>
      </c>
      <c r="L21" s="56">
        <f t="shared" si="3"/>
        <v>371.79559851706233</v>
      </c>
      <c r="M21" s="56">
        <f t="shared" si="4"/>
        <v>13.123438933609593</v>
      </c>
      <c r="N21" s="56">
        <f t="shared" si="1"/>
        <v>371.56249056356091</v>
      </c>
      <c r="O21" s="57">
        <f t="shared" si="2"/>
        <v>-11.795598517062331</v>
      </c>
      <c r="P21" s="58">
        <f t="shared" si="2"/>
        <v>-13.123438933609593</v>
      </c>
      <c r="Q21" s="59">
        <f t="shared" si="2"/>
        <v>-11.562490563560914</v>
      </c>
      <c r="R21" s="60"/>
      <c r="S21" s="3"/>
      <c r="T21" s="3"/>
    </row>
    <row r="22" spans="1:20" ht="16" customHeight="1">
      <c r="A22" s="3"/>
      <c r="B22" s="3"/>
      <c r="C22" s="3"/>
      <c r="D22" s="3"/>
      <c r="E22" s="3"/>
      <c r="F22" s="3"/>
      <c r="G22" s="3"/>
      <c r="H22" s="3"/>
      <c r="I22" s="22"/>
      <c r="J22" s="55">
        <f>J23+$M$7</f>
        <v>33.925891565143012</v>
      </c>
      <c r="K22" s="56">
        <f t="shared" si="0"/>
        <v>0.59211850948631783</v>
      </c>
      <c r="L22" s="56">
        <f t="shared" si="3"/>
        <v>371.80642858352473</v>
      </c>
      <c r="M22" s="56">
        <f t="shared" si="4"/>
        <v>13.074379208929786</v>
      </c>
      <c r="N22" s="56">
        <f t="shared" si="1"/>
        <v>371.57340610460727</v>
      </c>
      <c r="O22" s="57">
        <f t="shared" si="2"/>
        <v>-11.806428583524735</v>
      </c>
      <c r="P22" s="58">
        <f t="shared" si="2"/>
        <v>-13.074379208929786</v>
      </c>
      <c r="Q22" s="59">
        <f t="shared" si="2"/>
        <v>-11.573406104607272</v>
      </c>
      <c r="R22" s="60"/>
      <c r="S22" s="3"/>
      <c r="T22" s="3"/>
    </row>
    <row r="23" spans="1:20" ht="16" customHeight="1">
      <c r="A23" s="3"/>
      <c r="B23" s="3"/>
      <c r="C23" s="3"/>
      <c r="D23" s="3"/>
      <c r="E23" s="3"/>
      <c r="F23" s="3"/>
      <c r="G23" s="3"/>
      <c r="H23" s="3"/>
      <c r="I23" s="22"/>
      <c r="J23" s="55">
        <f t="shared" si="5"/>
        <v>33.913391565143009</v>
      </c>
      <c r="K23" s="56">
        <f t="shared" si="0"/>
        <v>0.59190034332981856</v>
      </c>
      <c r="L23" s="56">
        <f t="shared" si="3"/>
        <v>371.81725012914836</v>
      </c>
      <c r="M23" s="56">
        <f t="shared" si="4"/>
        <v>13.025570872484945</v>
      </c>
      <c r="N23" s="56">
        <f t="shared" si="1"/>
        <v>371.58431301733236</v>
      </c>
      <c r="O23" s="57">
        <f t="shared" si="2"/>
        <v>-11.817250129148363</v>
      </c>
      <c r="P23" s="58">
        <f t="shared" si="2"/>
        <v>-13.025570872484945</v>
      </c>
      <c r="Q23" s="59">
        <f t="shared" si="2"/>
        <v>-11.584313017332363</v>
      </c>
      <c r="R23" s="60"/>
      <c r="S23" s="3"/>
      <c r="T23" s="3"/>
    </row>
    <row r="24" spans="1:20" ht="16" customHeight="1">
      <c r="A24" s="3"/>
      <c r="B24" s="3"/>
      <c r="C24" s="3"/>
      <c r="D24" s="3"/>
      <c r="E24" s="3"/>
      <c r="F24" s="3"/>
      <c r="G24" s="3"/>
      <c r="H24" s="3"/>
      <c r="I24" s="22"/>
      <c r="J24" s="55">
        <f t="shared" si="5"/>
        <v>33.900891565143006</v>
      </c>
      <c r="K24" s="56">
        <f t="shared" si="0"/>
        <v>0.59168217717331917</v>
      </c>
      <c r="L24" s="56">
        <f t="shared" si="3"/>
        <v>371.82806316362758</v>
      </c>
      <c r="M24" s="56">
        <f t="shared" si="4"/>
        <v>12.977010474201585</v>
      </c>
      <c r="N24" s="56">
        <f t="shared" si="1"/>
        <v>371.5952113116316</v>
      </c>
      <c r="O24" s="57">
        <f t="shared" si="2"/>
        <v>-11.828063163627576</v>
      </c>
      <c r="P24" s="58">
        <f t="shared" si="2"/>
        <v>-12.977010474201585</v>
      </c>
      <c r="Q24" s="59">
        <f t="shared" si="2"/>
        <v>-11.595211311631601</v>
      </c>
      <c r="R24" s="60"/>
      <c r="S24" s="3"/>
      <c r="T24" s="3"/>
    </row>
    <row r="25" spans="1:20" ht="16" customHeight="1">
      <c r="A25" s="3"/>
      <c r="B25" s="3"/>
      <c r="C25" s="3"/>
      <c r="D25" s="3"/>
      <c r="E25" s="3"/>
      <c r="F25" s="3"/>
      <c r="G25" s="3"/>
      <c r="H25" s="3"/>
      <c r="I25" s="15"/>
      <c r="J25" s="55">
        <f t="shared" si="5"/>
        <v>33.888391565143003</v>
      </c>
      <c r="K25" s="56">
        <f t="shared" si="0"/>
        <v>0.59146401101681989</v>
      </c>
      <c r="L25" s="56">
        <f t="shared" si="3"/>
        <v>371.83886769663849</v>
      </c>
      <c r="M25" s="56">
        <f t="shared" si="4"/>
        <v>12.928694643617133</v>
      </c>
      <c r="N25" s="56">
        <f t="shared" si="1"/>
        <v>371.60610099738176</v>
      </c>
      <c r="O25" s="57">
        <f t="shared" si="2"/>
        <v>-11.838867696638488</v>
      </c>
      <c r="P25" s="58">
        <f t="shared" si="2"/>
        <v>-12.928694643617133</v>
      </c>
      <c r="Q25" s="59">
        <f t="shared" si="2"/>
        <v>-11.606100997381759</v>
      </c>
      <c r="R25" s="60"/>
      <c r="S25" s="3"/>
      <c r="T25" s="3"/>
    </row>
    <row r="26" spans="1:20" ht="16" customHeight="1">
      <c r="A26" s="3"/>
      <c r="B26" s="3"/>
      <c r="C26" s="3"/>
      <c r="D26" s="3"/>
      <c r="E26" s="3"/>
      <c r="F26" s="3"/>
      <c r="G26" s="3"/>
      <c r="H26" s="3"/>
      <c r="I26" s="22"/>
      <c r="J26" s="55">
        <f t="shared" si="5"/>
        <v>33.875891565143</v>
      </c>
      <c r="K26" s="56">
        <f t="shared" si="0"/>
        <v>0.5912458448603205</v>
      </c>
      <c r="L26" s="56">
        <f t="shared" si="3"/>
        <v>371.84966373783936</v>
      </c>
      <c r="M26" s="56">
        <f t="shared" si="4"/>
        <v>12.880620087323232</v>
      </c>
      <c r="N26" s="56">
        <f t="shared" si="1"/>
        <v>371.61698208444085</v>
      </c>
      <c r="O26" s="57">
        <f t="shared" si="2"/>
        <v>-11.849663737839364</v>
      </c>
      <c r="P26" s="58">
        <f t="shared" si="2"/>
        <v>-12.880620087323232</v>
      </c>
      <c r="Q26" s="59">
        <f t="shared" si="2"/>
        <v>-11.616982084440849</v>
      </c>
      <c r="R26" s="60"/>
      <c r="S26" s="3"/>
      <c r="T26" s="3"/>
    </row>
    <row r="27" spans="1:20" ht="16" customHeight="1">
      <c r="A27" s="3"/>
      <c r="B27" s="3"/>
      <c r="C27" s="3"/>
      <c r="D27" s="3"/>
      <c r="E27" s="3"/>
      <c r="F27" s="3"/>
      <c r="G27" s="3"/>
      <c r="H27" s="3"/>
      <c r="I27" s="22"/>
      <c r="J27" s="55">
        <f t="shared" si="5"/>
        <v>33.863391565142997</v>
      </c>
      <c r="K27" s="56">
        <f t="shared" si="0"/>
        <v>0.59102767870382111</v>
      </c>
      <c r="L27" s="56">
        <f t="shared" si="3"/>
        <v>371.86045129687051</v>
      </c>
      <c r="M27" s="56">
        <f t="shared" si="4"/>
        <v>12.832783586512821</v>
      </c>
      <c r="N27" s="56">
        <f t="shared" si="1"/>
        <v>371.62785458264864</v>
      </c>
      <c r="O27" s="57">
        <f t="shared" si="2"/>
        <v>-11.860451296870508</v>
      </c>
      <c r="P27" s="58">
        <f t="shared" si="2"/>
        <v>-12.832783586512821</v>
      </c>
      <c r="Q27" s="59">
        <f t="shared" si="2"/>
        <v>-11.627854582648638</v>
      </c>
      <c r="R27" s="60"/>
      <c r="S27" s="3"/>
      <c r="T27" s="3"/>
    </row>
    <row r="28" spans="1:20" ht="16" customHeight="1">
      <c r="A28" s="3"/>
      <c r="B28" s="3"/>
      <c r="C28" s="3"/>
      <c r="D28" s="3"/>
      <c r="E28" s="3"/>
      <c r="F28" s="3"/>
      <c r="G28" s="3"/>
      <c r="H28" s="3"/>
      <c r="I28" s="22"/>
      <c r="J28" s="55">
        <f t="shared" si="5"/>
        <v>33.850891565142994</v>
      </c>
      <c r="K28" s="56">
        <f t="shared" si="0"/>
        <v>0.59080951254732184</v>
      </c>
      <c r="L28" s="56">
        <f t="shared" si="3"/>
        <v>371.87123038335415</v>
      </c>
      <c r="M28" s="56">
        <f t="shared" si="4"/>
        <v>12.785181994628006</v>
      </c>
      <c r="N28" s="56">
        <f t="shared" si="1"/>
        <v>371.63871850182636</v>
      </c>
      <c r="O28" s="57">
        <f t="shared" si="2"/>
        <v>-11.871230383354145</v>
      </c>
      <c r="P28" s="58">
        <f t="shared" si="2"/>
        <v>-12.785181994628006</v>
      </c>
      <c r="Q28" s="59">
        <f t="shared" si="2"/>
        <v>-11.638718501826361</v>
      </c>
      <c r="R28" s="60"/>
      <c r="S28" s="3"/>
      <c r="T28" s="3"/>
    </row>
    <row r="29" spans="1:20" ht="16" customHeight="1">
      <c r="A29" s="3"/>
      <c r="B29" s="3"/>
      <c r="C29" s="3"/>
      <c r="D29" s="3"/>
      <c r="E29" s="3"/>
      <c r="F29" s="3"/>
      <c r="G29" s="3"/>
      <c r="H29" s="3"/>
      <c r="I29" s="22"/>
      <c r="J29" s="55">
        <f t="shared" si="5"/>
        <v>33.838391565142992</v>
      </c>
      <c r="K29" s="56">
        <f t="shared" si="0"/>
        <v>0.59059134639082245</v>
      </c>
      <c r="L29" s="56">
        <f t="shared" si="3"/>
        <v>371.88200100689482</v>
      </c>
      <c r="M29" s="56">
        <f t="shared" si="4"/>
        <v>12.737812235101153</v>
      </c>
      <c r="N29" s="56">
        <f t="shared" si="1"/>
        <v>371.64957385177684</v>
      </c>
      <c r="O29" s="57">
        <f t="shared" si="2"/>
        <v>-11.882001006894825</v>
      </c>
      <c r="P29" s="58">
        <f t="shared" si="2"/>
        <v>-12.737812235101153</v>
      </c>
      <c r="Q29" s="59">
        <f t="shared" si="2"/>
        <v>-11.649573851776836</v>
      </c>
      <c r="R29" s="60"/>
      <c r="S29" s="3"/>
      <c r="T29" s="3"/>
    </row>
    <row r="30" spans="1:20" ht="16" customHeight="1">
      <c r="A30" s="3"/>
      <c r="B30" s="3"/>
      <c r="C30" s="3"/>
      <c r="D30" s="3"/>
      <c r="E30" s="3"/>
      <c r="F30" s="3"/>
      <c r="G30" s="3"/>
      <c r="H30" s="3"/>
      <c r="I30" s="22"/>
      <c r="J30" s="55">
        <f t="shared" si="5"/>
        <v>33.825891565142989</v>
      </c>
      <c r="K30" s="56">
        <f t="shared" si="0"/>
        <v>0.59037318023432317</v>
      </c>
      <c r="L30" s="56">
        <f t="shared" si="3"/>
        <v>371.89276317707902</v>
      </c>
      <c r="M30" s="56">
        <f t="shared" si="4"/>
        <v>12.690671299187279</v>
      </c>
      <c r="N30" s="56">
        <f t="shared" si="1"/>
        <v>371.66042064228452</v>
      </c>
      <c r="O30" s="57">
        <f t="shared" si="2"/>
        <v>-11.892763177079019</v>
      </c>
      <c r="P30" s="58">
        <f t="shared" si="2"/>
        <v>-12.690671299187279</v>
      </c>
      <c r="Q30" s="59">
        <f t="shared" si="2"/>
        <v>-11.660420642284521</v>
      </c>
      <c r="R30" s="60"/>
      <c r="S30" s="3"/>
      <c r="T30" s="3"/>
    </row>
    <row r="31" spans="1:20" ht="16" customHeight="1">
      <c r="A31" s="3"/>
      <c r="B31" s="3"/>
      <c r="C31" s="3"/>
      <c r="D31" s="3"/>
      <c r="E31" s="3"/>
      <c r="F31" s="3"/>
      <c r="G31" s="3"/>
      <c r="H31" s="3"/>
      <c r="I31" s="22"/>
      <c r="J31" s="55">
        <f t="shared" si="5"/>
        <v>33.813391565142986</v>
      </c>
      <c r="K31" s="56">
        <f t="shared" si="0"/>
        <v>0.59015501407782378</v>
      </c>
      <c r="L31" s="56">
        <f t="shared" si="3"/>
        <v>371.90351690347575</v>
      </c>
      <c r="M31" s="56">
        <f t="shared" si="4"/>
        <v>12.643756243881429</v>
      </c>
      <c r="N31" s="56">
        <f t="shared" si="1"/>
        <v>371.67125888311551</v>
      </c>
      <c r="O31" s="57">
        <f t="shared" si="2"/>
        <v>-11.903516903475747</v>
      </c>
      <c r="P31" s="58">
        <f t="shared" si="2"/>
        <v>-12.643756243881429</v>
      </c>
      <c r="Q31" s="59">
        <f t="shared" si="2"/>
        <v>-11.671258883115513</v>
      </c>
      <c r="R31" s="60"/>
      <c r="S31" s="3"/>
      <c r="T31" s="3"/>
    </row>
    <row r="32" spans="1:20" ht="16" customHeight="1">
      <c r="A32" s="3"/>
      <c r="B32" s="3"/>
      <c r="C32" s="3"/>
      <c r="D32" s="3"/>
      <c r="E32" s="3"/>
      <c r="F32" s="3"/>
      <c r="G32" s="3"/>
      <c r="H32" s="3"/>
      <c r="I32" s="22"/>
      <c r="J32" s="55">
        <f>J33+$M$7</f>
        <v>33.800891565142983</v>
      </c>
      <c r="K32" s="56">
        <f t="shared" si="0"/>
        <v>0.5899368479213245</v>
      </c>
      <c r="L32" s="56">
        <f t="shared" si="3"/>
        <v>371.91426219563601</v>
      </c>
      <c r="M32" s="56">
        <f t="shared" si="4"/>
        <v>12.597064189917928</v>
      </c>
      <c r="N32" s="56">
        <f t="shared" si="1"/>
        <v>371.68208858401783</v>
      </c>
      <c r="O32" s="57">
        <f t="shared" si="2"/>
        <v>-11.914262195636013</v>
      </c>
      <c r="P32" s="58">
        <f t="shared" si="2"/>
        <v>-12.597064189917928</v>
      </c>
      <c r="Q32" s="59">
        <f t="shared" si="2"/>
        <v>-11.682088584017833</v>
      </c>
      <c r="R32" s="60"/>
      <c r="S32" s="3"/>
      <c r="T32" s="3"/>
    </row>
    <row r="33" spans="1:20" ht="16" customHeight="1">
      <c r="A33" s="3"/>
      <c r="B33" s="3"/>
      <c r="C33" s="3"/>
      <c r="D33" s="3"/>
      <c r="E33" s="3"/>
      <c r="F33" s="3"/>
      <c r="G33" s="3"/>
      <c r="H33" s="3"/>
      <c r="I33" s="22"/>
      <c r="J33" s="55">
        <f>J34+$M$7</f>
        <v>33.78839156514298</v>
      </c>
      <c r="K33" s="56">
        <f>RADIANS(J33)</f>
        <v>0.58971868176482511</v>
      </c>
      <c r="L33" s="56">
        <f t="shared" si="3"/>
        <v>371.9249990630932</v>
      </c>
      <c r="M33" s="56">
        <f t="shared" si="4"/>
        <v>12.550592319847247</v>
      </c>
      <c r="N33" s="56">
        <f t="shared" si="1"/>
        <v>371.69290975472103</v>
      </c>
      <c r="O33" s="57">
        <f t="shared" si="2"/>
        <v>-11.924999063093196</v>
      </c>
      <c r="P33" s="58">
        <f t="shared" si="2"/>
        <v>-12.550592319847247</v>
      </c>
      <c r="Q33" s="59">
        <f t="shared" si="2"/>
        <v>-11.692909754721029</v>
      </c>
      <c r="R33" s="60"/>
      <c r="S33" s="3"/>
      <c r="T33" s="3"/>
    </row>
    <row r="34" spans="1:20" ht="16" customHeight="1">
      <c r="A34" s="3"/>
      <c r="B34" s="3"/>
      <c r="C34" s="3"/>
      <c r="D34" s="3"/>
      <c r="E34" s="3"/>
      <c r="F34" s="3"/>
      <c r="G34" s="3"/>
      <c r="H34" s="3"/>
      <c r="I34" s="22"/>
      <c r="J34" s="61">
        <f>DEGREES(js)-vb/2</f>
        <v>33.775891565142977</v>
      </c>
      <c r="K34" s="62">
        <f>RADIANS(J34)</f>
        <v>0.58950051560832573</v>
      </c>
      <c r="L34" s="62">
        <f t="shared" si="3"/>
        <v>371.93572751536317</v>
      </c>
      <c r="M34" s="62">
        <f t="shared" si="4"/>
        <v>12.504337876186669</v>
      </c>
      <c r="N34" s="62">
        <f t="shared" si="1"/>
        <v>371.70372240493663</v>
      </c>
      <c r="O34" s="63">
        <f>IF(L34&lt;0,ABS(L34),IF(L34&gt;360,-(L34-360),IF(AND(L34&gt;180,L34&lt;360),360-L34,-L34)))</f>
        <v>-11.935727515363169</v>
      </c>
      <c r="P34" s="64">
        <f t="shared" si="2"/>
        <v>-12.504337876186669</v>
      </c>
      <c r="Q34" s="65">
        <f t="shared" si="2"/>
        <v>-11.703722404936627</v>
      </c>
      <c r="R34" s="60"/>
      <c r="S34" s="3"/>
      <c r="T34" s="3"/>
    </row>
    <row r="35" spans="1:20" ht="16" customHeight="1">
      <c r="A35" s="3"/>
      <c r="B35" s="3"/>
      <c r="C35" s="3"/>
      <c r="D35" s="3"/>
      <c r="E35" s="3"/>
      <c r="F35" s="3"/>
      <c r="G35" s="3"/>
      <c r="H35" s="3"/>
      <c r="I35" s="22"/>
      <c r="J35" s="55">
        <f t="shared" ref="J35:J54" si="6">J34-$M$7</f>
        <v>33.763391565142975</v>
      </c>
      <c r="K35" s="56">
        <f t="shared" si="0"/>
        <v>0.58928234945182645</v>
      </c>
      <c r="L35" s="56">
        <f t="shared" si="3"/>
        <v>371.94644756194407</v>
      </c>
      <c r="M35" s="56">
        <f t="shared" si="4"/>
        <v>12.458298159642231</v>
      </c>
      <c r="N35" s="56">
        <f t="shared" si="1"/>
        <v>371.71452654435802</v>
      </c>
      <c r="O35" s="57">
        <f t="shared" si="2"/>
        <v>-11.946447561944069</v>
      </c>
      <c r="P35" s="58">
        <f t="shared" si="2"/>
        <v>-12.458298159642231</v>
      </c>
      <c r="Q35" s="59">
        <f t="shared" si="2"/>
        <v>-11.714526544358023</v>
      </c>
      <c r="R35" s="60"/>
      <c r="S35" s="3"/>
      <c r="T35" s="3"/>
    </row>
    <row r="36" spans="1:20">
      <c r="A36" s="3"/>
      <c r="B36" s="3"/>
      <c r="C36" s="3"/>
      <c r="D36" s="3"/>
      <c r="E36" s="3"/>
      <c r="F36" s="3"/>
      <c r="G36" s="3"/>
      <c r="H36" s="3"/>
      <c r="I36" s="22"/>
      <c r="J36" s="55">
        <f t="shared" si="6"/>
        <v>33.750891565142972</v>
      </c>
      <c r="K36" s="56">
        <f t="shared" si="0"/>
        <v>0.58906418329532706</v>
      </c>
      <c r="L36" s="56">
        <f t="shared" si="3"/>
        <v>371.95715921231647</v>
      </c>
      <c r="M36" s="56">
        <f t="shared" si="4"/>
        <v>12.412470527397351</v>
      </c>
      <c r="N36" s="56">
        <f t="shared" si="1"/>
        <v>371.72532218266048</v>
      </c>
      <c r="O36" s="57">
        <f t="shared" si="2"/>
        <v>-11.957159212316469</v>
      </c>
      <c r="P36" s="58">
        <f t="shared" si="2"/>
        <v>-12.412470527397351</v>
      </c>
      <c r="Q36" s="59">
        <f t="shared" si="2"/>
        <v>-11.725322182660477</v>
      </c>
      <c r="R36" s="60"/>
      <c r="S36" s="3"/>
      <c r="T36" s="3"/>
    </row>
    <row r="37" spans="1:20">
      <c r="A37" s="3"/>
      <c r="B37" s="3"/>
      <c r="C37" s="3"/>
      <c r="D37" s="3"/>
      <c r="E37" s="3"/>
      <c r="F37" s="3"/>
      <c r="G37" s="3"/>
      <c r="H37" s="3"/>
      <c r="I37" s="22"/>
      <c r="J37" s="55">
        <f t="shared" si="6"/>
        <v>33.738391565142969</v>
      </c>
      <c r="K37" s="56">
        <f t="shared" si="0"/>
        <v>0.58884601713882778</v>
      </c>
      <c r="L37" s="56">
        <f t="shared" si="3"/>
        <v>371.96786247594355</v>
      </c>
      <c r="M37" s="56">
        <f t="shared" si="4"/>
        <v>12.366852391465992</v>
      </c>
      <c r="N37" s="56">
        <f t="shared" si="1"/>
        <v>371.73610932950135</v>
      </c>
      <c r="O37" s="57">
        <f t="shared" ref="O37:Q54" si="7">IF(L37&lt;0,ABS(L37),IF(L37&gt;360,-(L37-360),IF(AND(L37&gt;180,L37&lt;360),360-L37,-L37)))</f>
        <v>-11.967862475943548</v>
      </c>
      <c r="P37" s="58">
        <f t="shared" si="7"/>
        <v>-12.366852391465992</v>
      </c>
      <c r="Q37" s="59">
        <f t="shared" si="7"/>
        <v>-11.736109329501346</v>
      </c>
      <c r="R37" s="60"/>
      <c r="S37" s="3"/>
      <c r="T37" s="3"/>
    </row>
    <row r="38" spans="1:20">
      <c r="A38" s="3"/>
      <c r="B38" s="3"/>
      <c r="C38" s="3"/>
      <c r="D38" s="3"/>
      <c r="E38" s="3"/>
      <c r="F38" s="3"/>
      <c r="G38" s="3"/>
      <c r="H38" s="3"/>
      <c r="I38" s="22"/>
      <c r="J38" s="55">
        <f t="shared" si="6"/>
        <v>33.725891565142966</v>
      </c>
      <c r="K38" s="56">
        <f t="shared" si="0"/>
        <v>0.58862785098232839</v>
      </c>
      <c r="L38" s="56">
        <f t="shared" si="3"/>
        <v>371.97855736227081</v>
      </c>
      <c r="M38" s="56">
        <f t="shared" si="4"/>
        <v>12.321441217106807</v>
      </c>
      <c r="N38" s="56">
        <f t="shared" si="1"/>
        <v>371.7468879945198</v>
      </c>
      <c r="O38" s="57">
        <f t="shared" si="7"/>
        <v>-11.978557362270806</v>
      </c>
      <c r="P38" s="58">
        <f t="shared" si="7"/>
        <v>-12.321441217106807</v>
      </c>
      <c r="Q38" s="59">
        <f t="shared" si="7"/>
        <v>-11.746887994519795</v>
      </c>
      <c r="R38" s="60"/>
      <c r="S38" s="3"/>
      <c r="T38" s="3"/>
    </row>
    <row r="39" spans="1:20">
      <c r="A39" s="3"/>
      <c r="B39" s="3"/>
      <c r="C39" s="3"/>
      <c r="D39" s="3"/>
      <c r="E39" s="3"/>
      <c r="F39" s="3"/>
      <c r="G39" s="3"/>
      <c r="H39" s="3"/>
      <c r="I39" s="22"/>
      <c r="J39" s="55">
        <f t="shared" si="6"/>
        <v>33.713391565142963</v>
      </c>
      <c r="K39" s="56">
        <f t="shared" si="0"/>
        <v>0.58840968482582912</v>
      </c>
      <c r="L39" s="56">
        <f t="shared" ref="L39:L54" si="8">IFERROR(DEGREES(grt+IF(B="W",-1,1)*ACOS((SIN(h)-SIN(d)*SIN(K39))/COS(d)/COS(K39))),#N/A)</f>
        <v>371.98924388072663</v>
      </c>
      <c r="M39" s="56">
        <f t="shared" si="4"/>
        <v>12.276234521296391</v>
      </c>
      <c r="N39" s="56">
        <f t="shared" si="1"/>
        <v>371.75765818733737</v>
      </c>
      <c r="O39" s="57">
        <f t="shared" si="7"/>
        <v>-11.989243880726633</v>
      </c>
      <c r="P39" s="58">
        <f t="shared" si="7"/>
        <v>-12.276234521296391</v>
      </c>
      <c r="Q39" s="59">
        <f t="shared" si="7"/>
        <v>-11.75765818733737</v>
      </c>
      <c r="R39" s="60"/>
      <c r="S39" s="3"/>
      <c r="T39" s="3"/>
    </row>
    <row r="40" spans="1:20">
      <c r="A40" s="3"/>
      <c r="B40" s="3"/>
      <c r="C40" s="3"/>
      <c r="D40" s="3"/>
      <c r="E40" s="3"/>
      <c r="F40" s="3"/>
      <c r="G40" s="3"/>
      <c r="H40" s="3"/>
      <c r="I40" s="22"/>
      <c r="J40" s="55">
        <f t="shared" si="6"/>
        <v>33.70089156514296</v>
      </c>
      <c r="K40" s="56">
        <f t="shared" si="0"/>
        <v>0.58819151866932973</v>
      </c>
      <c r="L40" s="56">
        <f t="shared" si="8"/>
        <v>371.99992204072174</v>
      </c>
      <c r="M40" s="56">
        <f t="shared" si="4"/>
        <v>12.231229871258035</v>
      </c>
      <c r="N40" s="56">
        <f t="shared" si="1"/>
        <v>371.76841991755742</v>
      </c>
      <c r="O40" s="57">
        <f t="shared" si="7"/>
        <v>-11.999922040721742</v>
      </c>
      <c r="P40" s="58">
        <f t="shared" si="7"/>
        <v>-12.231229871258035</v>
      </c>
      <c r="Q40" s="59">
        <f t="shared" si="7"/>
        <v>-11.768419917557424</v>
      </c>
      <c r="R40" s="60"/>
      <c r="S40" s="3"/>
      <c r="T40" s="3"/>
    </row>
    <row r="41" spans="1:20">
      <c r="A41" s="3"/>
      <c r="B41" s="3"/>
      <c r="C41" s="3"/>
      <c r="D41" s="3"/>
      <c r="E41" s="3"/>
      <c r="F41" s="3"/>
      <c r="G41" s="3"/>
      <c r="H41" s="3"/>
      <c r="I41" s="22"/>
      <c r="J41" s="55">
        <f t="shared" si="6"/>
        <v>33.688391565142958</v>
      </c>
      <c r="K41" s="56">
        <f t="shared" si="0"/>
        <v>0.58797335251283034</v>
      </c>
      <c r="L41" s="56">
        <f t="shared" si="8"/>
        <v>372.01059185164968</v>
      </c>
      <c r="M41" s="56">
        <f t="shared" si="4"/>
        <v>12.186424883043998</v>
      </c>
      <c r="N41" s="56">
        <f t="shared" si="1"/>
        <v>371.77917319476552</v>
      </c>
      <c r="O41" s="57">
        <f t="shared" si="7"/>
        <v>-12.010591851649679</v>
      </c>
      <c r="P41" s="58">
        <f t="shared" si="7"/>
        <v>-12.186424883043998</v>
      </c>
      <c r="Q41" s="59">
        <f t="shared" si="7"/>
        <v>-11.779173194765519</v>
      </c>
      <c r="R41" s="60"/>
      <c r="S41" s="3"/>
      <c r="T41" s="3"/>
    </row>
    <row r="42" spans="1:20">
      <c r="A42" s="3"/>
      <c r="B42" s="3"/>
      <c r="C42" s="3"/>
      <c r="D42" s="3"/>
      <c r="E42" s="3"/>
      <c r="F42" s="3"/>
      <c r="G42" s="3"/>
      <c r="H42" s="3"/>
      <c r="I42" s="15"/>
      <c r="J42" s="55">
        <f t="shared" si="6"/>
        <v>33.675891565142955</v>
      </c>
      <c r="K42" s="56">
        <f t="shared" si="0"/>
        <v>0.58775518635633106</v>
      </c>
      <c r="L42" s="56">
        <f t="shared" si="8"/>
        <v>372.02125332288659</v>
      </c>
      <c r="M42" s="56">
        <f t="shared" si="4"/>
        <v>12.141817220168839</v>
      </c>
      <c r="N42" s="56">
        <f t="shared" si="1"/>
        <v>371.78991802852954</v>
      </c>
      <c r="O42" s="57">
        <f t="shared" si="7"/>
        <v>-12.021253322886594</v>
      </c>
      <c r="P42" s="58">
        <f t="shared" si="7"/>
        <v>-12.141817220168839</v>
      </c>
      <c r="Q42" s="59">
        <f t="shared" si="7"/>
        <v>-11.789918028529542</v>
      </c>
      <c r="R42" s="60"/>
      <c r="S42" s="3"/>
      <c r="T42" s="3"/>
    </row>
    <row r="43" spans="1:20">
      <c r="A43" s="3"/>
      <c r="B43" s="3"/>
      <c r="C43" s="3"/>
      <c r="D43" s="3"/>
      <c r="E43" s="3"/>
      <c r="F43" s="3"/>
      <c r="G43" s="3"/>
      <c r="H43" s="3"/>
      <c r="I43" s="22"/>
      <c r="J43" s="55">
        <f t="shared" si="6"/>
        <v>33.663391565142952</v>
      </c>
      <c r="K43" s="56">
        <f t="shared" si="0"/>
        <v>0.58753702019983167</v>
      </c>
      <c r="L43" s="56">
        <f t="shared" si="8"/>
        <v>372.03190646379159</v>
      </c>
      <c r="M43" s="56">
        <f t="shared" si="4"/>
        <v>12.09740459229185</v>
      </c>
      <c r="N43" s="56">
        <f t="shared" si="1"/>
        <v>371.80065442839958</v>
      </c>
      <c r="O43" s="57">
        <f t="shared" si="7"/>
        <v>-12.031906463791586</v>
      </c>
      <c r="P43" s="58">
        <f t="shared" si="7"/>
        <v>-12.09740459229185</v>
      </c>
      <c r="Q43" s="59">
        <f t="shared" si="7"/>
        <v>-11.800654428399582</v>
      </c>
      <c r="R43" s="60"/>
      <c r="S43" s="3"/>
      <c r="T43" s="3"/>
    </row>
    <row r="44" spans="1:20">
      <c r="A44" s="3"/>
      <c r="B44" s="3"/>
      <c r="C44" s="3"/>
      <c r="D44" s="3"/>
      <c r="E44" s="3"/>
      <c r="F44" s="3"/>
      <c r="G44" s="3"/>
      <c r="H44" s="3"/>
      <c r="I44" s="22"/>
      <c r="J44" s="55">
        <f t="shared" si="6"/>
        <v>33.650891565142949</v>
      </c>
      <c r="K44" s="56">
        <f t="shared" si="0"/>
        <v>0.58731885404333239</v>
      </c>
      <c r="L44" s="56">
        <f t="shared" si="8"/>
        <v>372.0425512837063</v>
      </c>
      <c r="M44" s="56">
        <f t="shared" si="4"/>
        <v>12.053184753945699</v>
      </c>
      <c r="N44" s="56">
        <f t="shared" si="1"/>
        <v>371.81138240390794</v>
      </c>
      <c r="O44" s="57">
        <f t="shared" si="7"/>
        <v>-12.042551283706302</v>
      </c>
      <c r="P44" s="58">
        <f t="shared" si="7"/>
        <v>-12.053184753945699</v>
      </c>
      <c r="Q44" s="59">
        <f t="shared" si="7"/>
        <v>-11.811382403907942</v>
      </c>
      <c r="R44" s="60"/>
      <c r="S44" s="3"/>
      <c r="T44" s="3"/>
    </row>
    <row r="45" spans="1:20">
      <c r="A45" s="3"/>
      <c r="B45" s="3"/>
      <c r="C45" s="3"/>
      <c r="D45" s="3"/>
      <c r="E45" s="3"/>
      <c r="F45" s="3"/>
      <c r="G45" s="3"/>
      <c r="H45" s="3"/>
      <c r="I45" s="22"/>
      <c r="J45" s="55">
        <f t="shared" si="6"/>
        <v>33.638391565142946</v>
      </c>
      <c r="K45" s="56">
        <f t="shared" si="0"/>
        <v>0.58710068788683301</v>
      </c>
      <c r="L45" s="56">
        <f t="shared" si="8"/>
        <v>372.05318779195539</v>
      </c>
      <c r="M45" s="56">
        <f t="shared" si="4"/>
        <v>12.009155503310396</v>
      </c>
      <c r="N45" s="56">
        <f t="shared" si="1"/>
        <v>371.82210196456936</v>
      </c>
      <c r="O45" s="57">
        <f t="shared" si="7"/>
        <v>-12.053187791955395</v>
      </c>
      <c r="P45" s="58">
        <f t="shared" si="7"/>
        <v>-12.009155503310396</v>
      </c>
      <c r="Q45" s="59">
        <f t="shared" si="7"/>
        <v>-11.822101964569356</v>
      </c>
      <c r="R45" s="60"/>
      <c r="S45" s="3"/>
      <c r="T45" s="3"/>
    </row>
    <row r="46" spans="1:20">
      <c r="A46" s="3"/>
      <c r="B46" s="3"/>
      <c r="C46" s="3"/>
      <c r="D46" s="3"/>
      <c r="E46" s="3"/>
      <c r="F46" s="3"/>
      <c r="G46" s="3"/>
      <c r="H46" s="3"/>
      <c r="I46" s="22"/>
      <c r="J46" s="55">
        <f t="shared" si="6"/>
        <v>33.625891565142943</v>
      </c>
      <c r="K46" s="56">
        <f t="shared" si="0"/>
        <v>0.58688252173033373</v>
      </c>
      <c r="L46" s="56">
        <f t="shared" si="8"/>
        <v>372.06381599784629</v>
      </c>
      <c r="M46" s="56">
        <f t="shared" si="4"/>
        <v>11.965314681029758</v>
      </c>
      <c r="N46" s="56">
        <f t="shared" si="1"/>
        <v>371.83281311988094</v>
      </c>
      <c r="O46" s="57">
        <f t="shared" si="7"/>
        <v>-12.063815997846291</v>
      </c>
      <c r="P46" s="58">
        <f t="shared" si="7"/>
        <v>-11.965314681029758</v>
      </c>
      <c r="Q46" s="59">
        <f t="shared" si="7"/>
        <v>-11.832813119880939</v>
      </c>
      <c r="R46" s="60"/>
      <c r="S46" s="3"/>
      <c r="T46" s="3"/>
    </row>
    <row r="47" spans="1:20">
      <c r="A47" s="3"/>
      <c r="B47" s="3"/>
      <c r="C47" s="3"/>
      <c r="D47" s="3"/>
      <c r="E47" s="3"/>
      <c r="F47" s="3"/>
      <c r="G47" s="3"/>
      <c r="H47" s="3"/>
      <c r="I47" s="22"/>
      <c r="J47" s="55">
        <f t="shared" si="6"/>
        <v>33.61339156514294</v>
      </c>
      <c r="K47" s="56">
        <f t="shared" si="0"/>
        <v>0.58666435557383434</v>
      </c>
      <c r="L47" s="56">
        <f t="shared" si="8"/>
        <v>372.07443591066954</v>
      </c>
      <c r="M47" s="56">
        <f t="shared" si="4"/>
        <v>11.921660169068588</v>
      </c>
      <c r="N47" s="56">
        <f t="shared" si="1"/>
        <v>371.84351587932213</v>
      </c>
      <c r="O47" s="57">
        <f t="shared" si="7"/>
        <v>-12.074435910669536</v>
      </c>
      <c r="P47" s="58">
        <f t="shared" si="7"/>
        <v>-11.921660169068588</v>
      </c>
      <c r="Q47" s="59">
        <f t="shared" si="7"/>
        <v>-11.843515879322126</v>
      </c>
      <c r="R47" s="60"/>
      <c r="S47" s="3"/>
      <c r="T47" s="3"/>
    </row>
    <row r="48" spans="1:20">
      <c r="A48" s="3"/>
      <c r="B48" s="3"/>
      <c r="C48" s="3"/>
      <c r="D48" s="3"/>
      <c r="E48" s="3"/>
      <c r="F48" s="3"/>
      <c r="G48" s="3"/>
      <c r="H48" s="3"/>
      <c r="I48" s="22"/>
      <c r="J48" s="55">
        <f t="shared" si="6"/>
        <v>33.600891565142938</v>
      </c>
      <c r="K48" s="56">
        <f t="shared" si="0"/>
        <v>0.58644618941733495</v>
      </c>
      <c r="L48" s="56">
        <f t="shared" si="8"/>
        <v>372.08504753969839</v>
      </c>
      <c r="M48" s="56">
        <f t="shared" si="4"/>
        <v>11.878189889609962</v>
      </c>
      <c r="N48" s="56">
        <f t="shared" si="1"/>
        <v>371.8542102523549</v>
      </c>
      <c r="O48" s="57">
        <f t="shared" si="7"/>
        <v>-12.085047539698394</v>
      </c>
      <c r="P48" s="58">
        <f t="shared" si="7"/>
        <v>-11.878189889609962</v>
      </c>
      <c r="Q48" s="59">
        <f t="shared" si="7"/>
        <v>-11.854210252354903</v>
      </c>
      <c r="R48" s="60"/>
      <c r="S48" s="3"/>
      <c r="T48" s="3"/>
    </row>
    <row r="49" spans="1:20">
      <c r="A49" s="3"/>
      <c r="B49" s="3"/>
      <c r="C49" s="3"/>
      <c r="D49" s="3"/>
      <c r="E49" s="3"/>
      <c r="F49" s="3"/>
      <c r="G49" s="3"/>
      <c r="H49" s="3"/>
      <c r="I49" s="22"/>
      <c r="J49" s="55">
        <f t="shared" si="6"/>
        <v>33.588391565142935</v>
      </c>
      <c r="K49" s="56">
        <f t="shared" si="0"/>
        <v>0.58622802326083567</v>
      </c>
      <c r="L49" s="56">
        <f t="shared" si="8"/>
        <v>372.0956508941893</v>
      </c>
      <c r="M49" s="56">
        <f t="shared" si="4"/>
        <v>11.834901803989116</v>
      </c>
      <c r="N49" s="56">
        <f t="shared" si="1"/>
        <v>371.8648962484238</v>
      </c>
      <c r="O49" s="57">
        <f t="shared" si="7"/>
        <v>-12.095650894189305</v>
      </c>
      <c r="P49" s="58">
        <f t="shared" si="7"/>
        <v>-11.834901803989116</v>
      </c>
      <c r="Q49" s="59">
        <f t="shared" si="7"/>
        <v>-11.864896248423804</v>
      </c>
      <c r="R49" s="60"/>
      <c r="S49" s="3"/>
      <c r="T49" s="3"/>
    </row>
    <row r="50" spans="1:20">
      <c r="A50" s="3"/>
      <c r="B50" s="3"/>
      <c r="C50" s="3"/>
      <c r="D50" s="3"/>
      <c r="E50" s="3"/>
      <c r="F50" s="3"/>
      <c r="G50" s="3"/>
      <c r="H50" s="3"/>
      <c r="I50" s="22"/>
      <c r="J50" s="55">
        <f t="shared" si="6"/>
        <v>33.575891565142932</v>
      </c>
      <c r="K50" s="56">
        <f t="shared" si="0"/>
        <v>0.58600985710433628</v>
      </c>
      <c r="L50" s="56">
        <f t="shared" si="8"/>
        <v>372.10624598338177</v>
      </c>
      <c r="M50" s="56">
        <f t="shared" si="4"/>
        <v>11.791793911664254</v>
      </c>
      <c r="N50" s="56">
        <f t="shared" si="1"/>
        <v>371.87557387695585</v>
      </c>
      <c r="O50" s="57">
        <f t="shared" si="7"/>
        <v>-12.106245983381768</v>
      </c>
      <c r="P50" s="58">
        <f t="shared" si="7"/>
        <v>-11.791793911664254</v>
      </c>
      <c r="Q50" s="59">
        <f t="shared" si="7"/>
        <v>-11.875573876955855</v>
      </c>
      <c r="R50" s="60"/>
      <c r="S50" s="3"/>
      <c r="T50" s="3"/>
    </row>
    <row r="51" spans="1:20">
      <c r="A51" s="3"/>
      <c r="B51" s="3"/>
      <c r="C51" s="3"/>
      <c r="D51" s="3"/>
      <c r="E51" s="3"/>
      <c r="F51" s="3"/>
      <c r="G51" s="3"/>
      <c r="H51" s="3"/>
      <c r="I51" s="22"/>
      <c r="J51" s="55">
        <f t="shared" si="6"/>
        <v>33.563391565142929</v>
      </c>
      <c r="K51" s="56">
        <f t="shared" si="0"/>
        <v>0.58579169094783701</v>
      </c>
      <c r="L51" s="56">
        <f t="shared" si="8"/>
        <v>372.11683281649823</v>
      </c>
      <c r="M51" s="56">
        <f t="shared" si="4"/>
        <v>11.74886424922154</v>
      </c>
      <c r="N51" s="56">
        <f t="shared" si="1"/>
        <v>371.88624314736069</v>
      </c>
      <c r="O51" s="57">
        <f t="shared" si="7"/>
        <v>-12.116832816498231</v>
      </c>
      <c r="P51" s="58">
        <f t="shared" si="7"/>
        <v>-11.74886424922154</v>
      </c>
      <c r="Q51" s="59">
        <f t="shared" si="7"/>
        <v>-11.886243147360688</v>
      </c>
      <c r="R51" s="60"/>
      <c r="S51" s="3"/>
      <c r="T51" s="3"/>
    </row>
    <row r="52" spans="1:20">
      <c r="A52" s="3"/>
      <c r="B52" s="3"/>
      <c r="C52" s="3"/>
      <c r="D52" s="3"/>
      <c r="E52" s="3"/>
      <c r="F52" s="3"/>
      <c r="G52" s="3"/>
      <c r="H52" s="3"/>
      <c r="I52" s="22"/>
      <c r="J52" s="55">
        <f t="shared" si="6"/>
        <v>33.550891565142926</v>
      </c>
      <c r="K52" s="56">
        <f t="shared" si="0"/>
        <v>0.58557352479133762</v>
      </c>
      <c r="L52" s="56">
        <f t="shared" si="8"/>
        <v>372.12741140274454</v>
      </c>
      <c r="M52" s="56">
        <f t="shared" si="4"/>
        <v>11.706110889413056</v>
      </c>
      <c r="N52" s="56">
        <f t="shared" si="1"/>
        <v>371.89690406903071</v>
      </c>
      <c r="O52" s="57">
        <f t="shared" si="7"/>
        <v>-12.127411402744542</v>
      </c>
      <c r="P52" s="58">
        <f t="shared" si="7"/>
        <v>-11.706110889413056</v>
      </c>
      <c r="Q52" s="59">
        <f t="shared" si="7"/>
        <v>-11.896904069030711</v>
      </c>
      <c r="R52" s="60"/>
      <c r="S52" s="3"/>
      <c r="T52" s="3"/>
    </row>
    <row r="53" spans="1:20">
      <c r="A53" s="3"/>
      <c r="B53" s="3"/>
      <c r="C53" s="3"/>
      <c r="D53" s="3"/>
      <c r="E53" s="3"/>
      <c r="F53" s="3"/>
      <c r="G53" s="3"/>
      <c r="H53" s="3"/>
      <c r="I53" s="22"/>
      <c r="J53" s="55">
        <f t="shared" si="6"/>
        <v>33.538391565142923</v>
      </c>
      <c r="K53" s="56">
        <f t="shared" si="0"/>
        <v>0.58535535863483834</v>
      </c>
      <c r="L53" s="56">
        <f t="shared" si="8"/>
        <v>372.1379817513095</v>
      </c>
      <c r="M53" s="56">
        <f t="shared" si="4"/>
        <v>11.663531940227642</v>
      </c>
      <c r="N53" s="56">
        <f t="shared" si="1"/>
        <v>371.90755665134083</v>
      </c>
      <c r="O53" s="57">
        <f t="shared" si="7"/>
        <v>-12.137981751309496</v>
      </c>
      <c r="P53" s="58">
        <f t="shared" si="7"/>
        <v>-11.663531940227642</v>
      </c>
      <c r="Q53" s="59">
        <f t="shared" si="7"/>
        <v>-11.907556651340826</v>
      </c>
      <c r="R53" s="60"/>
      <c r="S53" s="3"/>
      <c r="T53" s="3"/>
    </row>
    <row r="54" spans="1:20" ht="17" thickBot="1">
      <c r="A54" s="3"/>
      <c r="B54" s="3"/>
      <c r="C54" s="3"/>
      <c r="D54" s="3"/>
      <c r="E54" s="3"/>
      <c r="F54" s="3"/>
      <c r="G54" s="3"/>
      <c r="H54" s="3"/>
      <c r="I54" s="22"/>
      <c r="J54" s="55">
        <f t="shared" si="6"/>
        <v>33.525891565142921</v>
      </c>
      <c r="K54" s="56">
        <f t="shared" si="0"/>
        <v>0.58513719247833895</v>
      </c>
      <c r="L54" s="56">
        <f t="shared" si="8"/>
        <v>372.14854387136523</v>
      </c>
      <c r="M54" s="56">
        <f t="shared" si="4"/>
        <v>11.621125543990685</v>
      </c>
      <c r="N54" s="56">
        <f t="shared" si="1"/>
        <v>371.91820090364877</v>
      </c>
      <c r="O54" s="57">
        <f t="shared" si="7"/>
        <v>-12.148543871365234</v>
      </c>
      <c r="P54" s="58">
        <f t="shared" si="7"/>
        <v>-11.621125543990685</v>
      </c>
      <c r="Q54" s="59">
        <f t="shared" si="7"/>
        <v>-11.918200903648767</v>
      </c>
      <c r="R54" s="66"/>
      <c r="S54" s="3"/>
      <c r="T54" s="3"/>
    </row>
    <row r="55" spans="1:20">
      <c r="A55" s="3"/>
      <c r="B55" s="3"/>
      <c r="C55" s="3"/>
      <c r="D55" s="3"/>
      <c r="E55" s="3"/>
      <c r="F55" s="3"/>
      <c r="G55" s="3"/>
      <c r="H55" s="3"/>
      <c r="I55" s="22"/>
      <c r="J55" s="67">
        <f>J56-vb</f>
        <v>33.956439653195211</v>
      </c>
      <c r="K55" s="68"/>
      <c r="L55" s="69"/>
      <c r="M55" s="70"/>
      <c r="N55" s="70"/>
      <c r="O55" s="71"/>
      <c r="P55" s="72"/>
      <c r="Q55" s="73"/>
      <c r="R55" s="74">
        <f>R56-vl</f>
        <v>-11.782515360587169</v>
      </c>
      <c r="S55" s="3"/>
      <c r="T55" s="3"/>
    </row>
    <row r="56" spans="1:20" ht="17" thickBot="1">
      <c r="A56" s="3"/>
      <c r="B56" s="3"/>
      <c r="C56" s="3"/>
      <c r="D56" s="3"/>
      <c r="E56" s="3"/>
      <c r="F56" s="3"/>
      <c r="G56" s="3"/>
      <c r="H56" s="3"/>
      <c r="I56" s="22"/>
      <c r="J56" s="75">
        <f>DEGREES(js)</f>
        <v>33.595343477090736</v>
      </c>
      <c r="K56" s="76"/>
      <c r="L56" s="76"/>
      <c r="M56" s="77"/>
      <c r="N56" s="77"/>
      <c r="O56" s="78"/>
      <c r="P56" s="79"/>
      <c r="Q56" s="80"/>
      <c r="R56" s="81">
        <f>DEGREES(ls)</f>
        <v>-11.858954233477355</v>
      </c>
      <c r="S56" s="3"/>
      <c r="T56" s="3"/>
    </row>
    <row r="57" spans="1:20">
      <c r="A57" s="3"/>
      <c r="B57" s="3"/>
      <c r="C57" s="3"/>
      <c r="D57" s="3"/>
      <c r="E57" s="3"/>
      <c r="F57" s="3"/>
      <c r="G57" s="3"/>
      <c r="H57" s="3"/>
      <c r="I57" s="22"/>
    </row>
    <row r="58" spans="1:20">
      <c r="A58" s="3"/>
      <c r="B58" s="3"/>
      <c r="C58" s="3"/>
      <c r="D58" s="3"/>
      <c r="E58" s="3"/>
      <c r="F58" s="3"/>
      <c r="G58" s="3"/>
      <c r="H58" s="3"/>
      <c r="I58" s="22"/>
    </row>
    <row r="59" spans="1:20">
      <c r="A59" s="3"/>
      <c r="B59" s="3"/>
      <c r="C59" s="3"/>
      <c r="D59" s="3"/>
      <c r="E59" s="3"/>
      <c r="F59" s="3"/>
      <c r="G59" s="3"/>
      <c r="H59" s="3"/>
      <c r="I59" s="22"/>
    </row>
    <row r="60" spans="1:20">
      <c r="A60" s="3"/>
      <c r="B60" s="3"/>
      <c r="C60" s="3"/>
      <c r="D60" s="3"/>
      <c r="E60" s="3"/>
      <c r="F60" s="3"/>
      <c r="G60" s="3"/>
      <c r="H60" s="3"/>
      <c r="I60" s="22"/>
    </row>
  </sheetData>
  <sheetProtection algorithmName="SHA-512" hashValue="+mPwu98d8N9ym8h8YAx1tL5oBNezudymvApOWF/CMr/lyXaL8u+bZcPwEipw0XM1gGONXd8QcNxzygbzqeAqXQ==" saltValue="6VFpHgDIaaQRpH3M/fFTsQ==" spinCount="100000" sheet="1" scenarios="1" selectLockedCells="1"/>
  <mergeCells count="5">
    <mergeCell ref="F2:H2"/>
    <mergeCell ref="J3:L3"/>
    <mergeCell ref="J4:L4"/>
    <mergeCell ref="J5:L5"/>
    <mergeCell ref="J6:L6"/>
  </mergeCells>
  <pageMargins left="0.7" right="0.7" top="0.78740157499999996" bottom="0.78740157499999996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D8222-9834-FD46-ABE7-86E1E4C4E4B4}">
  <dimension ref="B1:Y194"/>
  <sheetViews>
    <sheetView workbookViewId="0">
      <selection activeCell="H2" sqref="H2:J2"/>
    </sheetView>
  </sheetViews>
  <sheetFormatPr baseColWidth="10" defaultRowHeight="16"/>
  <cols>
    <col min="1" max="1" width="4.83203125" customWidth="1"/>
    <col min="11" max="11" width="10.83203125" customWidth="1"/>
    <col min="26" max="26" width="5.5" customWidth="1"/>
  </cols>
  <sheetData>
    <row r="1" spans="2:25" ht="17" thickBot="1"/>
    <row r="2" spans="2:25" ht="23" customHeight="1" thickBot="1">
      <c r="B2" s="168" t="s">
        <v>96</v>
      </c>
      <c r="C2" s="3"/>
      <c r="D2" s="3"/>
      <c r="E2" s="3"/>
      <c r="F2" s="3"/>
      <c r="G2" s="3"/>
      <c r="H2" s="347" t="s">
        <v>89</v>
      </c>
      <c r="I2" s="348"/>
      <c r="J2" s="349"/>
      <c r="K2" s="22"/>
      <c r="M2" s="103" t="s">
        <v>110</v>
      </c>
    </row>
    <row r="3" spans="2:25" ht="16" customHeight="1" thickBot="1">
      <c r="M3" s="84" t="s">
        <v>6</v>
      </c>
      <c r="N3" s="85" t="s">
        <v>24</v>
      </c>
      <c r="O3" s="86" t="s">
        <v>25</v>
      </c>
      <c r="P3" s="87" t="s">
        <v>26</v>
      </c>
      <c r="Q3" s="88" t="s">
        <v>27</v>
      </c>
      <c r="R3" s="88" t="s">
        <v>28</v>
      </c>
      <c r="S3" s="88" t="s">
        <v>29</v>
      </c>
      <c r="T3" s="89" t="s">
        <v>30</v>
      </c>
      <c r="U3" s="89" t="s">
        <v>31</v>
      </c>
      <c r="V3" s="89" t="s">
        <v>32</v>
      </c>
      <c r="W3" s="89" t="s">
        <v>33</v>
      </c>
      <c r="X3" s="89" t="s">
        <v>34</v>
      </c>
      <c r="Y3" s="90" t="s">
        <v>35</v>
      </c>
    </row>
    <row r="4" spans="2:25" ht="16" customHeight="1" thickBot="1">
      <c r="M4" s="152"/>
      <c r="N4" s="153">
        <f>IF(MIN(L5:L6)=0,MAX(L5:L6)+1,MIN(L5:L6)+(add+2)*(step+0.0001))</f>
        <v>51.544142903391659</v>
      </c>
      <c r="O4" s="93"/>
      <c r="P4" s="91"/>
      <c r="Q4" s="92"/>
      <c r="R4" s="92"/>
      <c r="S4" s="93"/>
      <c r="T4" s="94"/>
      <c r="U4" s="95"/>
      <c r="V4" s="95"/>
      <c r="W4" s="140"/>
      <c r="X4" s="150"/>
      <c r="Y4" s="151"/>
    </row>
    <row r="5" spans="2:25" ht="20" customHeight="1">
      <c r="L5" s="101">
        <f>IFERROR(90-DEGREES(h)+DEGREES(d)-0.01,0)</f>
        <v>50.236037975847395</v>
      </c>
      <c r="M5" s="154">
        <f>IF(N5&gt;maxn,maxn,IF(N5&lt;mins,mins,N5))</f>
        <v>50.236037975847395</v>
      </c>
      <c r="N5" s="155">
        <f>N4-step</f>
        <v>50.940165364230658</v>
      </c>
      <c r="O5" s="156">
        <f>RADIANS(M5)</f>
        <v>0.87678426583544466</v>
      </c>
      <c r="P5" s="96">
        <f>IFERROR(DEGREES(grt+ACOS((SIN(h)-SIN(d)*SIN(O5))/COS(d)/COS(O5))),#N/A)</f>
        <v>332.10122545486206</v>
      </c>
      <c r="Q5" s="96">
        <f>IFERROR(DEGREES(grt-ACOS((SIN(h)-SIN(d)*SIN(O5))/COS(d)/COS(O5))),#N/A)</f>
        <v>329.6973712787526</v>
      </c>
      <c r="R5" s="96" t="e">
        <f t="shared" ref="R5:R36" si="0">IFERROR(DEGREES(grt_+ACOS((SIN(h_)-SIN(d_)*SIN(O5))/COS(d_)/COS(O5))),#N/A)</f>
        <v>#N/A</v>
      </c>
      <c r="S5" s="97" t="e">
        <f t="shared" ref="S5:S36" si="1">IFERROR(DEGREES(grt_-ACOS((SIN(h_)-SIN(d_)*SIN(O5))/COS(d_)/COS(O5))),#N/A)</f>
        <v>#N/A</v>
      </c>
      <c r="T5" s="98">
        <f>IF(P5&lt;0,ABS(P5),IF(P5&gt;360,-(P5-360),IF(AND(P5&gt;180,P5&lt;360),ABS(360-P5),-P5)))</f>
        <v>27.89877454513794</v>
      </c>
      <c r="U5" s="99">
        <f>IF(Q5&lt;0,ABS(Q5),IF(Q5&gt;360,Q5-(Q5-360),IF(AND(Q5&gt;180,Q5&lt;360),ABS(360-Q5),-Q5)))</f>
        <v>30.302628721247402</v>
      </c>
      <c r="V5" s="100" t="e">
        <f>IF(R5&lt;0,ABS(R5),IF(R5&gt;360,-(R5-360),IF(AND(R5&gt;180,R5&lt;360),ABS(360-R5),-R5)))</f>
        <v>#N/A</v>
      </c>
      <c r="W5" s="100" t="e">
        <f>IF(S5&lt;0,ABS(S5),IF(S5&gt;360,-(S5-360),IF(AND(S5&gt;180,S5&lt;360),ABS(360-S5),-S5)))</f>
        <v>#N/A</v>
      </c>
      <c r="X5" s="100"/>
      <c r="Y5" s="147"/>
    </row>
    <row r="6" spans="2:25" ht="17" thickBot="1">
      <c r="L6" s="102">
        <f>IFERROR(90-DEGREES(h_)+DEGREES(d_)-0.01,0)</f>
        <v>35.234049346044557</v>
      </c>
      <c r="M6" s="154">
        <f>IF(N6&gt;maxn,maxn,IF(N6&lt;mins,mins,N6))</f>
        <v>50.236037975847395</v>
      </c>
      <c r="N6" s="155">
        <f t="shared" ref="N6:N68" si="2">N5-step</f>
        <v>50.336187825069658</v>
      </c>
      <c r="O6" s="156">
        <f>RADIANS(M6)</f>
        <v>0.87678426583544466</v>
      </c>
      <c r="P6" s="96">
        <f>IFERROR(DEGREES(grt+ACOS((SIN(h)-SIN(d)*SIN(O6))/COS(d)/COS(O6))),#N/A)</f>
        <v>332.10122545486206</v>
      </c>
      <c r="Q6" s="96">
        <f>IFERROR(DEGREES(grt-ACOS((SIN(h)-SIN(d)*SIN(O6))/COS(d)/COS(O6))),#N/A)</f>
        <v>329.6973712787526</v>
      </c>
      <c r="R6" s="96" t="e">
        <f t="shared" si="0"/>
        <v>#N/A</v>
      </c>
      <c r="S6" s="97" t="e">
        <f t="shared" si="1"/>
        <v>#N/A</v>
      </c>
      <c r="T6" s="98">
        <f t="shared" ref="T6:T35" si="3">IF(P6&lt;0,ABS(P6),IF(P6&gt;360,-(P6-360),IF(AND(P6&gt;180,P6&lt;360),ABS(360-P6),-P6)))</f>
        <v>27.89877454513794</v>
      </c>
      <c r="U6" s="99">
        <f t="shared" ref="U6:U35" si="4">IF(Q6&lt;0,ABS(Q6),IF(Q6&gt;360,Q6-(Q6-360),IF(AND(Q6&gt;180,Q6&lt;360),ABS(360-Q6),-Q6)))</f>
        <v>30.302628721247402</v>
      </c>
      <c r="V6" s="100" t="e">
        <f t="shared" ref="V6:V35" si="5">IF(R6&lt;0,ABS(R6),IF(R6&gt;360,-(R6-360),IF(AND(R6&gt;180,R6&lt;360),ABS(360-R6),-R6)))</f>
        <v>#N/A</v>
      </c>
      <c r="W6" s="100" t="e">
        <f t="shared" ref="W6:W35" si="6">IF(S6&lt;0,ABS(S6),IF(S6&gt;360,-(S6-360),IF(AND(S6&gt;180,S6&lt;360),ABS(360-S6),-S6)))</f>
        <v>#N/A</v>
      </c>
      <c r="X6" s="100"/>
      <c r="Y6" s="147"/>
    </row>
    <row r="7" spans="2:25">
      <c r="M7" s="154">
        <f>IF(N7&gt;maxn,maxn,IF(N7&lt;mins,mins,N7))</f>
        <v>49.732210285908657</v>
      </c>
      <c r="N7" s="155">
        <f t="shared" si="2"/>
        <v>49.732210285908657</v>
      </c>
      <c r="O7" s="156">
        <f>RADIANS(M7)</f>
        <v>0.86799081378329657</v>
      </c>
      <c r="P7" s="96">
        <f>IFERROR(DEGREES(grt+ACOS((SIN(h)-SIN(d)*SIN(O7))/COS(d)/COS(O7))),#N/A)</f>
        <v>339.46378212933541</v>
      </c>
      <c r="Q7" s="96">
        <f>IFERROR(DEGREES(grt-ACOS((SIN(h)-SIN(d)*SIN(O7))/COS(d)/COS(O7))),#N/A)</f>
        <v>322.33481460427925</v>
      </c>
      <c r="R7" s="96" t="e">
        <f t="shared" si="0"/>
        <v>#N/A</v>
      </c>
      <c r="S7" s="97" t="e">
        <f t="shared" si="1"/>
        <v>#N/A</v>
      </c>
      <c r="T7" s="98">
        <f t="shared" si="3"/>
        <v>20.536217870664586</v>
      </c>
      <c r="U7" s="99">
        <f t="shared" si="4"/>
        <v>37.665185395720755</v>
      </c>
      <c r="V7" s="100" t="e">
        <f t="shared" si="5"/>
        <v>#N/A</v>
      </c>
      <c r="W7" s="100" t="e">
        <f t="shared" si="6"/>
        <v>#N/A</v>
      </c>
      <c r="X7" s="100"/>
      <c r="Y7" s="147"/>
    </row>
    <row r="8" spans="2:25">
      <c r="M8" s="154">
        <f t="shared" ref="M8:M35" si="7">IF(N8&gt;maxn,maxn,IF(N8&lt;mins,mins,N8))</f>
        <v>49.128232746747656</v>
      </c>
      <c r="N8" s="155">
        <f>N7-step</f>
        <v>49.128232746747656</v>
      </c>
      <c r="O8" s="156">
        <f t="shared" ref="O8:O35" si="8">RADIANS(M8)</f>
        <v>0.85744941711684408</v>
      </c>
      <c r="P8" s="96">
        <f t="shared" ref="P8:P35" si="9">IFERROR(DEGREES(grt+ACOS((SIN(h)-SIN(d)*SIN(O8))/COS(d)/COS(O8))),#N/A)</f>
        <v>343.44243782076165</v>
      </c>
      <c r="Q8" s="96">
        <f t="shared" ref="Q8:Q35" si="10">IFERROR(DEGREES(grt-ACOS((SIN(h)-SIN(d)*SIN(O8))/COS(d)/COS(O8))),#N/A)</f>
        <v>318.356158912853</v>
      </c>
      <c r="R8" s="96" t="e">
        <f t="shared" si="0"/>
        <v>#N/A</v>
      </c>
      <c r="S8" s="97" t="e">
        <f t="shared" si="1"/>
        <v>#N/A</v>
      </c>
      <c r="T8" s="98">
        <f t="shared" si="3"/>
        <v>16.557562179238346</v>
      </c>
      <c r="U8" s="99">
        <f t="shared" si="4"/>
        <v>41.643841087146996</v>
      </c>
      <c r="V8" s="100" t="e">
        <f t="shared" si="5"/>
        <v>#N/A</v>
      </c>
      <c r="W8" s="100" t="e">
        <f t="shared" si="6"/>
        <v>#N/A</v>
      </c>
      <c r="X8" s="100"/>
      <c r="Y8" s="147"/>
    </row>
    <row r="9" spans="2:25">
      <c r="M9" s="154">
        <f t="shared" si="7"/>
        <v>48.524255207586656</v>
      </c>
      <c r="N9" s="155">
        <f t="shared" si="2"/>
        <v>48.524255207586656</v>
      </c>
      <c r="O9" s="156">
        <f t="shared" si="8"/>
        <v>0.84690802045039171</v>
      </c>
      <c r="P9" s="96">
        <f t="shared" si="9"/>
        <v>346.35808166785466</v>
      </c>
      <c r="Q9" s="96">
        <f t="shared" si="10"/>
        <v>315.44051506576</v>
      </c>
      <c r="R9" s="96" t="e">
        <f t="shared" si="0"/>
        <v>#N/A</v>
      </c>
      <c r="S9" s="97" t="e">
        <f t="shared" si="1"/>
        <v>#N/A</v>
      </c>
      <c r="T9" s="98">
        <f t="shared" si="3"/>
        <v>13.641918332145337</v>
      </c>
      <c r="U9" s="99">
        <f t="shared" si="4"/>
        <v>44.559484934240004</v>
      </c>
      <c r="V9" s="100" t="e">
        <f t="shared" si="5"/>
        <v>#N/A</v>
      </c>
      <c r="W9" s="100" t="e">
        <f t="shared" si="6"/>
        <v>#N/A</v>
      </c>
      <c r="X9" s="100"/>
      <c r="Y9" s="147"/>
    </row>
    <row r="10" spans="2:25">
      <c r="M10" s="154">
        <f t="shared" si="7"/>
        <v>47.920277668425655</v>
      </c>
      <c r="N10" s="155">
        <f t="shared" si="2"/>
        <v>47.920277668425655</v>
      </c>
      <c r="O10" s="156">
        <f t="shared" si="8"/>
        <v>0.83636662378393922</v>
      </c>
      <c r="P10" s="96">
        <f t="shared" si="9"/>
        <v>348.74208943768338</v>
      </c>
      <c r="Q10" s="96">
        <f t="shared" si="10"/>
        <v>313.05650729593123</v>
      </c>
      <c r="R10" s="96" t="e">
        <f t="shared" si="0"/>
        <v>#N/A</v>
      </c>
      <c r="S10" s="97" t="e">
        <f t="shared" si="1"/>
        <v>#N/A</v>
      </c>
      <c r="T10" s="98">
        <f t="shared" si="3"/>
        <v>11.257910562316624</v>
      </c>
      <c r="U10" s="99">
        <f t="shared" si="4"/>
        <v>46.943492704068774</v>
      </c>
      <c r="V10" s="100" t="e">
        <f t="shared" si="5"/>
        <v>#N/A</v>
      </c>
      <c r="W10" s="100" t="e">
        <f t="shared" si="6"/>
        <v>#N/A</v>
      </c>
      <c r="X10" s="100"/>
      <c r="Y10" s="147"/>
    </row>
    <row r="11" spans="2:25">
      <c r="M11" s="154">
        <f t="shared" si="7"/>
        <v>47.316300129264654</v>
      </c>
      <c r="N11" s="155">
        <f t="shared" si="2"/>
        <v>47.316300129264654</v>
      </c>
      <c r="O11" s="156">
        <f t="shared" si="8"/>
        <v>0.82582522711748674</v>
      </c>
      <c r="P11" s="96">
        <f t="shared" si="9"/>
        <v>350.78858352224728</v>
      </c>
      <c r="Q11" s="96">
        <f t="shared" si="10"/>
        <v>311.01001321136738</v>
      </c>
      <c r="R11" s="96" t="e">
        <f t="shared" si="0"/>
        <v>#N/A</v>
      </c>
      <c r="S11" s="97" t="e">
        <f t="shared" si="1"/>
        <v>#N/A</v>
      </c>
      <c r="T11" s="98">
        <f t="shared" si="3"/>
        <v>9.2114164777527208</v>
      </c>
      <c r="U11" s="99">
        <f t="shared" si="4"/>
        <v>48.989986788632621</v>
      </c>
      <c r="V11" s="100" t="e">
        <f t="shared" si="5"/>
        <v>#N/A</v>
      </c>
      <c r="W11" s="100" t="e">
        <f t="shared" si="6"/>
        <v>#N/A</v>
      </c>
      <c r="X11" s="100"/>
      <c r="Y11" s="147"/>
    </row>
    <row r="12" spans="2:25">
      <c r="M12" s="154">
        <f t="shared" si="7"/>
        <v>46.712322590103653</v>
      </c>
      <c r="N12" s="155">
        <f t="shared" si="2"/>
        <v>46.712322590103653</v>
      </c>
      <c r="O12" s="156">
        <f t="shared" si="8"/>
        <v>0.81528383045103436</v>
      </c>
      <c r="P12" s="96">
        <f t="shared" si="9"/>
        <v>352.59503773460312</v>
      </c>
      <c r="Q12" s="96">
        <f t="shared" si="10"/>
        <v>309.20355899901148</v>
      </c>
      <c r="R12" s="96" t="e">
        <f t="shared" si="0"/>
        <v>#N/A</v>
      </c>
      <c r="S12" s="97" t="e">
        <f t="shared" si="1"/>
        <v>#N/A</v>
      </c>
      <c r="T12" s="98">
        <f t="shared" si="3"/>
        <v>7.4049622653968754</v>
      </c>
      <c r="U12" s="99">
        <f t="shared" si="4"/>
        <v>50.796441000988523</v>
      </c>
      <c r="V12" s="100" t="e">
        <f t="shared" si="5"/>
        <v>#N/A</v>
      </c>
      <c r="W12" s="100" t="e">
        <f t="shared" si="6"/>
        <v>#N/A</v>
      </c>
      <c r="X12" s="100"/>
      <c r="Y12" s="147"/>
    </row>
    <row r="13" spans="2:25">
      <c r="M13" s="154">
        <f t="shared" si="7"/>
        <v>46.108345050942653</v>
      </c>
      <c r="N13" s="155">
        <f t="shared" si="2"/>
        <v>46.108345050942653</v>
      </c>
      <c r="O13" s="156">
        <f t="shared" si="8"/>
        <v>0.80474243378458188</v>
      </c>
      <c r="P13" s="96">
        <f t="shared" si="9"/>
        <v>354.21885045509009</v>
      </c>
      <c r="Q13" s="96">
        <f t="shared" si="10"/>
        <v>307.57974627852457</v>
      </c>
      <c r="R13" s="96" t="e">
        <f t="shared" si="0"/>
        <v>#N/A</v>
      </c>
      <c r="S13" s="97" t="e">
        <f t="shared" si="1"/>
        <v>#N/A</v>
      </c>
      <c r="T13" s="98">
        <f t="shared" si="3"/>
        <v>5.7811495449099084</v>
      </c>
      <c r="U13" s="99">
        <f t="shared" si="4"/>
        <v>52.420253721475433</v>
      </c>
      <c r="V13" s="100" t="e">
        <f t="shared" si="5"/>
        <v>#N/A</v>
      </c>
      <c r="W13" s="100" t="e">
        <f t="shared" si="6"/>
        <v>#N/A</v>
      </c>
      <c r="X13" s="100"/>
      <c r="Y13" s="147"/>
    </row>
    <row r="14" spans="2:25">
      <c r="M14" s="154">
        <f t="shared" si="7"/>
        <v>45.504367511781652</v>
      </c>
      <c r="N14" s="155">
        <f t="shared" si="2"/>
        <v>45.504367511781652</v>
      </c>
      <c r="O14" s="156">
        <f t="shared" si="8"/>
        <v>0.79420103711812939</v>
      </c>
      <c r="P14" s="96">
        <f t="shared" si="9"/>
        <v>355.69730958581511</v>
      </c>
      <c r="Q14" s="96">
        <f t="shared" si="10"/>
        <v>306.10128714779955</v>
      </c>
      <c r="R14" s="96" t="e">
        <f t="shared" si="0"/>
        <v>#N/A</v>
      </c>
      <c r="S14" s="97" t="e">
        <f t="shared" si="1"/>
        <v>#N/A</v>
      </c>
      <c r="T14" s="98">
        <f t="shared" si="3"/>
        <v>4.3026904141848945</v>
      </c>
      <c r="U14" s="99">
        <f t="shared" si="4"/>
        <v>53.898712852200447</v>
      </c>
      <c r="V14" s="100" t="e">
        <f t="shared" si="5"/>
        <v>#N/A</v>
      </c>
      <c r="W14" s="100" t="e">
        <f t="shared" si="6"/>
        <v>#N/A</v>
      </c>
      <c r="X14" s="100"/>
      <c r="Y14" s="147"/>
    </row>
    <row r="15" spans="2:25">
      <c r="M15" s="154">
        <f t="shared" si="7"/>
        <v>44.900389972620651</v>
      </c>
      <c r="N15" s="155">
        <f t="shared" si="2"/>
        <v>44.900389972620651</v>
      </c>
      <c r="O15" s="156">
        <f t="shared" si="8"/>
        <v>0.78365964045167691</v>
      </c>
      <c r="P15" s="96">
        <f t="shared" si="9"/>
        <v>357.05632141275612</v>
      </c>
      <c r="Q15" s="96">
        <f t="shared" si="10"/>
        <v>304.74227532085854</v>
      </c>
      <c r="R15" s="96" t="e">
        <f t="shared" si="0"/>
        <v>#N/A</v>
      </c>
      <c r="S15" s="97" t="e">
        <f t="shared" si="1"/>
        <v>#N/A</v>
      </c>
      <c r="T15" s="98">
        <f t="shared" si="3"/>
        <v>2.9436785872438804</v>
      </c>
      <c r="U15" s="99">
        <f t="shared" si="4"/>
        <v>55.257724679141461</v>
      </c>
      <c r="V15" s="100" t="e">
        <f t="shared" si="5"/>
        <v>#N/A</v>
      </c>
      <c r="W15" s="100" t="e">
        <f t="shared" si="6"/>
        <v>#N/A</v>
      </c>
      <c r="X15" s="100"/>
      <c r="Y15" s="147"/>
    </row>
    <row r="16" spans="2:25">
      <c r="M16" s="154">
        <f t="shared" si="7"/>
        <v>44.296412433459651</v>
      </c>
      <c r="N16" s="155">
        <f t="shared" si="2"/>
        <v>44.296412433459651</v>
      </c>
      <c r="O16" s="156">
        <f t="shared" si="8"/>
        <v>0.77311824378522453</v>
      </c>
      <c r="P16" s="96">
        <f t="shared" si="9"/>
        <v>358.31478830450129</v>
      </c>
      <c r="Q16" s="96">
        <f t="shared" si="10"/>
        <v>303.48380842911337</v>
      </c>
      <c r="R16" s="96" t="e">
        <f t="shared" si="0"/>
        <v>#N/A</v>
      </c>
      <c r="S16" s="97" t="e">
        <f t="shared" si="1"/>
        <v>#N/A</v>
      </c>
      <c r="T16" s="98">
        <f t="shared" si="3"/>
        <v>1.6852116954987082</v>
      </c>
      <c r="U16" s="99">
        <f t="shared" si="4"/>
        <v>56.516191570886633</v>
      </c>
      <c r="V16" s="100" t="e">
        <f t="shared" si="5"/>
        <v>#N/A</v>
      </c>
      <c r="W16" s="100" t="e">
        <f t="shared" si="6"/>
        <v>#N/A</v>
      </c>
      <c r="X16" s="100"/>
      <c r="Y16" s="147"/>
    </row>
    <row r="17" spans="7:25">
      <c r="M17" s="154">
        <f t="shared" si="7"/>
        <v>43.69243489429865</v>
      </c>
      <c r="N17" s="155">
        <f t="shared" si="2"/>
        <v>43.69243489429865</v>
      </c>
      <c r="O17" s="156">
        <f t="shared" si="8"/>
        <v>0.76257684711877205</v>
      </c>
      <c r="P17" s="96">
        <f t="shared" si="9"/>
        <v>359.48702718039692</v>
      </c>
      <c r="Q17" s="96">
        <f t="shared" si="10"/>
        <v>302.31156955321768</v>
      </c>
      <c r="R17" s="96" t="e">
        <f t="shared" si="0"/>
        <v>#N/A</v>
      </c>
      <c r="S17" s="97" t="e">
        <f t="shared" si="1"/>
        <v>#N/A</v>
      </c>
      <c r="T17" s="98">
        <f t="shared" si="3"/>
        <v>0.51297281960307828</v>
      </c>
      <c r="U17" s="99">
        <f t="shared" si="4"/>
        <v>57.68843044678232</v>
      </c>
      <c r="V17" s="100" t="e">
        <f t="shared" si="5"/>
        <v>#N/A</v>
      </c>
      <c r="W17" s="100" t="e">
        <f t="shared" si="6"/>
        <v>#N/A</v>
      </c>
      <c r="X17" s="100"/>
      <c r="Y17" s="147"/>
    </row>
    <row r="18" spans="7:25">
      <c r="M18" s="154">
        <f t="shared" si="7"/>
        <v>43.088457355137649</v>
      </c>
      <c r="N18" s="155">
        <f t="shared" si="2"/>
        <v>43.088457355137649</v>
      </c>
      <c r="O18" s="156">
        <f t="shared" si="8"/>
        <v>0.75203545045231956</v>
      </c>
      <c r="P18" s="96">
        <f t="shared" si="9"/>
        <v>360.58420579469805</v>
      </c>
      <c r="Q18" s="96">
        <f t="shared" si="10"/>
        <v>301.21439093891661</v>
      </c>
      <c r="R18" s="96" t="e">
        <f t="shared" si="0"/>
        <v>#N/A</v>
      </c>
      <c r="S18" s="97" t="e">
        <f t="shared" si="1"/>
        <v>#N/A</v>
      </c>
      <c r="T18" s="98">
        <f t="shared" si="3"/>
        <v>-0.58420579469805034</v>
      </c>
      <c r="U18" s="99">
        <f t="shared" si="4"/>
        <v>58.785609061083392</v>
      </c>
      <c r="V18" s="100" t="e">
        <f t="shared" si="5"/>
        <v>#N/A</v>
      </c>
      <c r="W18" s="100" t="e">
        <f t="shared" si="6"/>
        <v>#N/A</v>
      </c>
      <c r="X18" s="100"/>
      <c r="Y18" s="147"/>
    </row>
    <row r="19" spans="7:25">
      <c r="M19" s="154">
        <f t="shared" si="7"/>
        <v>42.484479815976648</v>
      </c>
      <c r="N19" s="155">
        <f t="shared" si="2"/>
        <v>42.484479815976648</v>
      </c>
      <c r="O19" s="156">
        <f t="shared" si="8"/>
        <v>0.74149405378586719</v>
      </c>
      <c r="P19" s="96">
        <f t="shared" si="9"/>
        <v>361.61524513154723</v>
      </c>
      <c r="Q19" s="96">
        <f t="shared" si="10"/>
        <v>300.18335160206738</v>
      </c>
      <c r="R19" s="96" t="e">
        <f t="shared" si="0"/>
        <v>#N/A</v>
      </c>
      <c r="S19" s="97" t="e">
        <f t="shared" si="1"/>
        <v>#N/A</v>
      </c>
      <c r="T19" s="98">
        <f t="shared" si="3"/>
        <v>-1.6152451315472263</v>
      </c>
      <c r="U19" s="99">
        <f t="shared" si="4"/>
        <v>59.816648397932624</v>
      </c>
      <c r="V19" s="100" t="e">
        <f t="shared" si="5"/>
        <v>#N/A</v>
      </c>
      <c r="W19" s="100" t="e">
        <f t="shared" si="6"/>
        <v>#N/A</v>
      </c>
      <c r="X19" s="100"/>
      <c r="Y19" s="147"/>
    </row>
    <row r="20" spans="7:25">
      <c r="M20" s="154">
        <f t="shared" si="7"/>
        <v>41.880502276815648</v>
      </c>
      <c r="N20" s="155">
        <f t="shared" si="2"/>
        <v>41.880502276815648</v>
      </c>
      <c r="O20" s="156">
        <f t="shared" si="8"/>
        <v>0.73095265711941471</v>
      </c>
      <c r="P20" s="96">
        <f t="shared" si="9"/>
        <v>362.58741257585882</v>
      </c>
      <c r="Q20" s="96">
        <f t="shared" si="10"/>
        <v>299.21118415775584</v>
      </c>
      <c r="R20" s="96" t="e">
        <f t="shared" si="0"/>
        <v>#N/A</v>
      </c>
      <c r="S20" s="97" t="e">
        <f t="shared" si="1"/>
        <v>#N/A</v>
      </c>
      <c r="T20" s="98">
        <f t="shared" si="3"/>
        <v>-2.5874125758588207</v>
      </c>
      <c r="U20" s="99">
        <f t="shared" si="4"/>
        <v>60.788815842244162</v>
      </c>
      <c r="V20" s="100" t="e">
        <f>IF(R20&lt;0,ABS(R20),IF(R20&gt;360,-(R20-360),IF(AND(R20&gt;180,R20&lt;360),ABS(360-R20),-R20)))</f>
        <v>#N/A</v>
      </c>
      <c r="W20" s="100" t="e">
        <f t="shared" si="6"/>
        <v>#N/A</v>
      </c>
      <c r="X20" s="100"/>
      <c r="Y20" s="147"/>
    </row>
    <row r="21" spans="7:25">
      <c r="M21" s="154">
        <f t="shared" si="7"/>
        <v>41.276524737654647</v>
      </c>
      <c r="N21" s="155">
        <f t="shared" si="2"/>
        <v>41.276524737654647</v>
      </c>
      <c r="O21" s="156">
        <f t="shared" si="8"/>
        <v>0.72041126045296222</v>
      </c>
      <c r="P21" s="96">
        <f t="shared" si="9"/>
        <v>363.50672656846274</v>
      </c>
      <c r="Q21" s="96">
        <f t="shared" si="10"/>
        <v>298.29187016515186</v>
      </c>
      <c r="R21" s="96" t="e">
        <f t="shared" si="0"/>
        <v>#N/A</v>
      </c>
      <c r="S21" s="97" t="e">
        <f t="shared" si="1"/>
        <v>#N/A</v>
      </c>
      <c r="T21" s="98">
        <f t="shared" si="3"/>
        <v>-3.5067265684627387</v>
      </c>
      <c r="U21" s="99">
        <f t="shared" si="4"/>
        <v>61.708129834848137</v>
      </c>
      <c r="V21" s="100" t="e">
        <f t="shared" si="5"/>
        <v>#N/A</v>
      </c>
      <c r="W21" s="100" t="e">
        <f t="shared" si="6"/>
        <v>#N/A</v>
      </c>
      <c r="X21" s="100"/>
      <c r="Y21" s="147"/>
    </row>
    <row r="22" spans="7:25">
      <c r="M22" s="154">
        <f t="shared" si="7"/>
        <v>40.672547198493646</v>
      </c>
      <c r="N22" s="155">
        <f t="shared" si="2"/>
        <v>40.672547198493646</v>
      </c>
      <c r="O22" s="156">
        <f t="shared" si="8"/>
        <v>0.70986986378650985</v>
      </c>
      <c r="P22" s="96">
        <f t="shared" si="9"/>
        <v>364.37824136817142</v>
      </c>
      <c r="Q22" s="96">
        <f t="shared" si="10"/>
        <v>297.42035536544324</v>
      </c>
      <c r="R22" s="96" t="e">
        <f t="shared" si="0"/>
        <v>#N/A</v>
      </c>
      <c r="S22" s="97" t="e">
        <f t="shared" si="1"/>
        <v>#N/A</v>
      </c>
      <c r="T22" s="98">
        <f t="shared" si="3"/>
        <v>-4.3782413681714161</v>
      </c>
      <c r="U22" s="99">
        <f t="shared" si="4"/>
        <v>62.579644634556757</v>
      </c>
      <c r="V22" s="100" t="e">
        <f t="shared" si="5"/>
        <v>#N/A</v>
      </c>
      <c r="W22" s="100" t="e">
        <f t="shared" si="6"/>
        <v>#N/A</v>
      </c>
      <c r="X22" s="100"/>
      <c r="Y22" s="147"/>
    </row>
    <row r="23" spans="7:25">
      <c r="M23" s="154">
        <f t="shared" si="7"/>
        <v>40.068569659332645</v>
      </c>
      <c r="N23" s="155">
        <f t="shared" si="2"/>
        <v>40.068569659332645</v>
      </c>
      <c r="O23" s="156">
        <f t="shared" si="8"/>
        <v>0.69932846712005736</v>
      </c>
      <c r="P23" s="96">
        <f t="shared" si="9"/>
        <v>365.20625280339993</v>
      </c>
      <c r="Q23" s="96">
        <f t="shared" si="10"/>
        <v>296.59234393021467</v>
      </c>
      <c r="R23" s="96" t="e">
        <f t="shared" si="0"/>
        <v>#N/A</v>
      </c>
      <c r="S23" s="97" t="e">
        <f t="shared" si="1"/>
        <v>#N/A</v>
      </c>
      <c r="T23" s="98">
        <f t="shared" si="3"/>
        <v>-5.2062528033999342</v>
      </c>
      <c r="U23" s="99">
        <f t="shared" si="4"/>
        <v>63.407656069785332</v>
      </c>
      <c r="V23" s="100" t="e">
        <f t="shared" si="5"/>
        <v>#N/A</v>
      </c>
      <c r="W23" s="100" t="e">
        <f t="shared" si="6"/>
        <v>#N/A</v>
      </c>
      <c r="X23" s="100"/>
      <c r="Y23" s="147"/>
    </row>
    <row r="24" spans="7:25">
      <c r="M24" s="154">
        <f t="shared" si="7"/>
        <v>39.464592120171645</v>
      </c>
      <c r="N24" s="155">
        <f t="shared" si="2"/>
        <v>39.464592120171645</v>
      </c>
      <c r="O24" s="156">
        <f t="shared" si="8"/>
        <v>0.68878707045360488</v>
      </c>
      <c r="P24" s="96">
        <f t="shared" si="9"/>
        <v>365.99445035150217</v>
      </c>
      <c r="Q24" s="96">
        <f t="shared" si="10"/>
        <v>295.80414638211249</v>
      </c>
      <c r="R24" s="96" t="e">
        <f t="shared" si="0"/>
        <v>#N/A</v>
      </c>
      <c r="S24" s="97" t="e">
        <f t="shared" si="1"/>
        <v>#N/A</v>
      </c>
      <c r="T24" s="98">
        <f t="shared" si="3"/>
        <v>-5.9944503515021665</v>
      </c>
      <c r="U24" s="99">
        <f t="shared" si="4"/>
        <v>64.195853617887508</v>
      </c>
      <c r="V24" s="100" t="e">
        <f t="shared" si="5"/>
        <v>#N/A</v>
      </c>
      <c r="W24" s="100" t="e">
        <f t="shared" si="6"/>
        <v>#N/A</v>
      </c>
      <c r="X24" s="100"/>
      <c r="Y24" s="147"/>
    </row>
    <row r="25" spans="7:25">
      <c r="M25" s="154">
        <f t="shared" si="7"/>
        <v>38.860614581010644</v>
      </c>
      <c r="N25" s="155">
        <f t="shared" si="2"/>
        <v>38.860614581010644</v>
      </c>
      <c r="O25" s="156">
        <f t="shared" si="8"/>
        <v>0.67824567378715239</v>
      </c>
      <c r="P25" s="96">
        <f t="shared" si="9"/>
        <v>366.74603179026082</v>
      </c>
      <c r="Q25" s="96">
        <f t="shared" si="10"/>
        <v>295.05256494335384</v>
      </c>
      <c r="R25" s="96" t="e">
        <f t="shared" si="0"/>
        <v>#N/A</v>
      </c>
      <c r="S25" s="97" t="e">
        <f t="shared" si="1"/>
        <v>#N/A</v>
      </c>
      <c r="T25" s="98">
        <f t="shared" si="3"/>
        <v>-6.7460317902608153</v>
      </c>
      <c r="U25" s="99">
        <f t="shared" si="4"/>
        <v>64.947435056646157</v>
      </c>
      <c r="V25" s="100" t="e">
        <f t="shared" si="5"/>
        <v>#N/A</v>
      </c>
      <c r="W25" s="100" t="e">
        <f t="shared" si="6"/>
        <v>#N/A</v>
      </c>
      <c r="X25" s="100"/>
      <c r="Y25" s="147"/>
    </row>
    <row r="26" spans="7:25" ht="19" thickBot="1">
      <c r="G26" s="103" t="s">
        <v>109</v>
      </c>
      <c r="H26" s="104"/>
      <c r="I26" s="104"/>
      <c r="J26" s="104"/>
      <c r="K26" s="104"/>
      <c r="M26" s="154">
        <f t="shared" si="7"/>
        <v>38.256637041849643</v>
      </c>
      <c r="N26" s="155">
        <f t="shared" si="2"/>
        <v>38.256637041849643</v>
      </c>
      <c r="O26" s="156">
        <f t="shared" si="8"/>
        <v>0.66770427712070002</v>
      </c>
      <c r="P26" s="96">
        <f t="shared" si="9"/>
        <v>367.46379114569032</v>
      </c>
      <c r="Q26" s="96">
        <f t="shared" si="10"/>
        <v>294.33480558792434</v>
      </c>
      <c r="R26" s="96" t="e">
        <f t="shared" si="0"/>
        <v>#N/A</v>
      </c>
      <c r="S26" s="97" t="e">
        <f t="shared" si="1"/>
        <v>#N/A</v>
      </c>
      <c r="T26" s="98">
        <f t="shared" si="3"/>
        <v>-7.4637911456903225</v>
      </c>
      <c r="U26" s="99">
        <f t="shared" si="4"/>
        <v>65.665194412075664</v>
      </c>
      <c r="V26" s="100" t="e">
        <f t="shared" si="5"/>
        <v>#N/A</v>
      </c>
      <c r="W26" s="100" t="e">
        <f t="shared" si="6"/>
        <v>#N/A</v>
      </c>
      <c r="X26" s="100"/>
      <c r="Y26" s="147"/>
    </row>
    <row r="27" spans="7:25">
      <c r="G27" s="105"/>
      <c r="H27" s="106"/>
      <c r="I27" s="107"/>
      <c r="J27" s="242" t="s">
        <v>97</v>
      </c>
      <c r="K27" s="108">
        <f>MAX(L5:L6)</f>
        <v>50.236037975847395</v>
      </c>
      <c r="M27" s="154">
        <f t="shared" si="7"/>
        <v>37.652659502688643</v>
      </c>
      <c r="N27" s="155">
        <f t="shared" si="2"/>
        <v>37.652659502688643</v>
      </c>
      <c r="O27" s="156">
        <f t="shared" si="8"/>
        <v>0.65716288045424753</v>
      </c>
      <c r="P27" s="96">
        <f t="shared" si="9"/>
        <v>368.15018719991758</v>
      </c>
      <c r="Q27" s="96">
        <f t="shared" si="10"/>
        <v>293.64840953369708</v>
      </c>
      <c r="R27" s="96" t="e">
        <f t="shared" si="0"/>
        <v>#N/A</v>
      </c>
      <c r="S27" s="97" t="e">
        <f t="shared" si="1"/>
        <v>#N/A</v>
      </c>
      <c r="T27" s="98">
        <f t="shared" si="3"/>
        <v>-8.1501871999175819</v>
      </c>
      <c r="U27" s="99">
        <f t="shared" si="4"/>
        <v>66.351590466302923</v>
      </c>
      <c r="V27" s="100" t="e">
        <f t="shared" si="5"/>
        <v>#N/A</v>
      </c>
      <c r="W27" s="100" t="e">
        <f t="shared" si="6"/>
        <v>#N/A</v>
      </c>
      <c r="X27" s="100"/>
      <c r="Y27" s="147"/>
    </row>
    <row r="28" spans="7:25">
      <c r="G28" s="109"/>
      <c r="H28" s="110"/>
      <c r="I28" s="111"/>
      <c r="J28" s="243" t="s">
        <v>98</v>
      </c>
      <c r="K28" s="112">
        <f>MIN(L189:L190)</f>
        <v>-56.963480055293246</v>
      </c>
      <c r="M28" s="154">
        <f t="shared" si="7"/>
        <v>37.048681963527642</v>
      </c>
      <c r="N28" s="155">
        <f t="shared" si="2"/>
        <v>37.048681963527642</v>
      </c>
      <c r="O28" s="156">
        <f t="shared" si="8"/>
        <v>0.64662148378779505</v>
      </c>
      <c r="P28" s="96">
        <f t="shared" si="9"/>
        <v>368.80739759177624</v>
      </c>
      <c r="Q28" s="96">
        <f t="shared" si="10"/>
        <v>292.99119914183842</v>
      </c>
      <c r="R28" s="96" t="e">
        <f t="shared" si="0"/>
        <v>#N/A</v>
      </c>
      <c r="S28" s="97" t="e">
        <f t="shared" si="1"/>
        <v>#N/A</v>
      </c>
      <c r="T28" s="98">
        <f t="shared" si="3"/>
        <v>-8.8073975917762368</v>
      </c>
      <c r="U28" s="99">
        <f t="shared" si="4"/>
        <v>67.008800858161578</v>
      </c>
      <c r="V28" s="100" t="e">
        <f t="shared" si="5"/>
        <v>#N/A</v>
      </c>
      <c r="W28" s="100" t="e">
        <f t="shared" si="6"/>
        <v>#N/A</v>
      </c>
      <c r="X28" s="100"/>
      <c r="Y28" s="147"/>
    </row>
    <row r="29" spans="7:25">
      <c r="G29" s="113"/>
      <c r="H29" s="114"/>
      <c r="I29" s="115"/>
      <c r="J29" s="243" t="s">
        <v>99</v>
      </c>
      <c r="K29" s="116">
        <f>MIN(L5:L6)</f>
        <v>35.234049346044557</v>
      </c>
      <c r="M29" s="154">
        <f t="shared" si="7"/>
        <v>36.444704424366641</v>
      </c>
      <c r="N29" s="155">
        <f t="shared" si="2"/>
        <v>36.444704424366641</v>
      </c>
      <c r="O29" s="156">
        <f t="shared" si="8"/>
        <v>0.63608008712134267</v>
      </c>
      <c r="P29" s="96">
        <f t="shared" si="9"/>
        <v>369.43736206789913</v>
      </c>
      <c r="Q29" s="96">
        <f t="shared" si="10"/>
        <v>292.36123466571553</v>
      </c>
      <c r="R29" s="96" t="e">
        <f t="shared" si="0"/>
        <v>#N/A</v>
      </c>
      <c r="S29" s="97" t="e">
        <f t="shared" si="1"/>
        <v>#N/A</v>
      </c>
      <c r="T29" s="98">
        <f t="shared" si="3"/>
        <v>-9.4373620678991301</v>
      </c>
      <c r="U29" s="99">
        <f t="shared" si="4"/>
        <v>67.638765334284471</v>
      </c>
      <c r="V29" s="100" t="e">
        <f t="shared" si="5"/>
        <v>#N/A</v>
      </c>
      <c r="W29" s="100" t="e">
        <f t="shared" si="6"/>
        <v>#N/A</v>
      </c>
      <c r="X29" s="100"/>
      <c r="Y29" s="147"/>
    </row>
    <row r="30" spans="7:25">
      <c r="G30" s="109"/>
      <c r="H30" s="110"/>
      <c r="I30" s="111"/>
      <c r="J30" s="243" t="s">
        <v>100</v>
      </c>
      <c r="K30" s="112">
        <f>MAX(L189:L190)</f>
        <v>-42.075075666563919</v>
      </c>
      <c r="M30" s="154">
        <f t="shared" si="7"/>
        <v>35.84072688520564</v>
      </c>
      <c r="N30" s="155">
        <f t="shared" si="2"/>
        <v>35.84072688520564</v>
      </c>
      <c r="O30" s="156">
        <f t="shared" si="8"/>
        <v>0.62553869045489019</v>
      </c>
      <c r="P30" s="96">
        <f t="shared" si="9"/>
        <v>370.04181744525312</v>
      </c>
      <c r="Q30" s="96">
        <f t="shared" si="10"/>
        <v>291.75677928836154</v>
      </c>
      <c r="R30" s="96" t="e">
        <f t="shared" si="0"/>
        <v>#N/A</v>
      </c>
      <c r="S30" s="97" t="e">
        <f t="shared" si="1"/>
        <v>#N/A</v>
      </c>
      <c r="T30" s="98">
        <f t="shared" si="3"/>
        <v>-10.041817445253116</v>
      </c>
      <c r="U30" s="99">
        <f t="shared" si="4"/>
        <v>68.243220711638457</v>
      </c>
      <c r="V30" s="100" t="e">
        <f t="shared" si="5"/>
        <v>#N/A</v>
      </c>
      <c r="W30" s="100" t="e">
        <f t="shared" si="6"/>
        <v>#N/A</v>
      </c>
      <c r="X30" s="100"/>
      <c r="Y30" s="147"/>
    </row>
    <row r="31" spans="7:25">
      <c r="G31" s="117"/>
      <c r="H31" s="115"/>
      <c r="I31" s="115"/>
      <c r="J31" s="244" t="s">
        <v>101</v>
      </c>
      <c r="K31" s="116">
        <f>IF(minn=0,K27,minn)</f>
        <v>35.234049346044557</v>
      </c>
      <c r="M31" s="154">
        <f t="shared" si="7"/>
        <v>35.23674934604464</v>
      </c>
      <c r="N31" s="155">
        <f t="shared" si="2"/>
        <v>35.23674934604464</v>
      </c>
      <c r="O31" s="156">
        <f t="shared" si="8"/>
        <v>0.6149972937884377</v>
      </c>
      <c r="P31" s="96">
        <f t="shared" si="9"/>
        <v>370.62232615874598</v>
      </c>
      <c r="Q31" s="96">
        <f t="shared" si="10"/>
        <v>291.17627057486862</v>
      </c>
      <c r="R31" s="96">
        <f t="shared" si="0"/>
        <v>24.486672197161361</v>
      </c>
      <c r="S31" s="97">
        <f t="shared" si="1"/>
        <v>22.885468806229031</v>
      </c>
      <c r="T31" s="98">
        <f t="shared" si="3"/>
        <v>-10.622326158745977</v>
      </c>
      <c r="U31" s="99">
        <f t="shared" si="4"/>
        <v>68.823729425131376</v>
      </c>
      <c r="V31" s="100">
        <f t="shared" si="5"/>
        <v>-24.486672197161361</v>
      </c>
      <c r="W31" s="100">
        <f t="shared" si="6"/>
        <v>-22.885468806229031</v>
      </c>
      <c r="X31" s="100"/>
      <c r="Y31" s="147"/>
    </row>
    <row r="32" spans="7:25">
      <c r="G32" s="118"/>
      <c r="H32" s="111"/>
      <c r="I32" s="111"/>
      <c r="J32" s="244" t="s">
        <v>102</v>
      </c>
      <c r="K32" s="112">
        <f>IF(maxs=0,K28,maxs)</f>
        <v>-42.075075666563919</v>
      </c>
      <c r="M32" s="154">
        <f t="shared" si="7"/>
        <v>34.632771806883639</v>
      </c>
      <c r="N32" s="155">
        <f t="shared" si="2"/>
        <v>34.632771806883639</v>
      </c>
      <c r="O32" s="156">
        <f t="shared" si="8"/>
        <v>0.60445589712198522</v>
      </c>
      <c r="P32" s="96">
        <f t="shared" si="9"/>
        <v>371.18029978501869</v>
      </c>
      <c r="Q32" s="96">
        <f t="shared" si="10"/>
        <v>290.61829694859591</v>
      </c>
      <c r="R32" s="96">
        <f t="shared" si="0"/>
        <v>30.965956993196258</v>
      </c>
      <c r="S32" s="97">
        <f t="shared" si="1"/>
        <v>16.406184010194131</v>
      </c>
      <c r="T32" s="98">
        <f t="shared" si="3"/>
        <v>-11.18029978501869</v>
      </c>
      <c r="U32" s="99">
        <f t="shared" si="4"/>
        <v>69.381703051404088</v>
      </c>
      <c r="V32" s="100">
        <f t="shared" si="5"/>
        <v>-30.965956993196258</v>
      </c>
      <c r="W32" s="100">
        <f t="shared" si="6"/>
        <v>-16.406184010194131</v>
      </c>
      <c r="X32" s="100"/>
      <c r="Y32" s="147"/>
    </row>
    <row r="33" spans="7:25">
      <c r="G33" s="113"/>
      <c r="H33" s="114"/>
      <c r="I33" s="115"/>
      <c r="J33" s="243" t="s">
        <v>103</v>
      </c>
      <c r="K33" s="119">
        <f>maxn-mins</f>
        <v>107.19951803114064</v>
      </c>
      <c r="M33" s="154">
        <f t="shared" si="7"/>
        <v>34.028794267722638</v>
      </c>
      <c r="N33" s="155">
        <f t="shared" si="2"/>
        <v>34.028794267722638</v>
      </c>
      <c r="O33" s="156">
        <f t="shared" si="8"/>
        <v>0.59391450045553285</v>
      </c>
      <c r="P33" s="96">
        <f t="shared" si="9"/>
        <v>371.7170185892266</v>
      </c>
      <c r="Q33" s="96">
        <f t="shared" si="10"/>
        <v>290.081578144388</v>
      </c>
      <c r="R33" s="96">
        <f t="shared" si="0"/>
        <v>33.886071874177901</v>
      </c>
      <c r="S33" s="97">
        <f t="shared" si="1"/>
        <v>13.486069129212494</v>
      </c>
      <c r="T33" s="98">
        <f t="shared" si="3"/>
        <v>-11.717018589226598</v>
      </c>
      <c r="U33" s="99">
        <f t="shared" si="4"/>
        <v>69.918421855611996</v>
      </c>
      <c r="V33" s="100">
        <f t="shared" si="5"/>
        <v>-33.886071874177901</v>
      </c>
      <c r="W33" s="100">
        <f t="shared" si="6"/>
        <v>-13.486069129212494</v>
      </c>
      <c r="X33" s="100"/>
      <c r="Y33" s="147"/>
    </row>
    <row r="34" spans="7:25">
      <c r="G34" s="118"/>
      <c r="H34" s="111"/>
      <c r="I34" s="111"/>
      <c r="J34" s="243" t="s">
        <v>104</v>
      </c>
      <c r="K34" s="120">
        <f>K31-K32</f>
        <v>77.309125012608476</v>
      </c>
      <c r="M34" s="154">
        <f t="shared" si="7"/>
        <v>33.424816728561638</v>
      </c>
      <c r="N34" s="155">
        <f t="shared" si="2"/>
        <v>33.424816728561638</v>
      </c>
      <c r="O34" s="156">
        <f t="shared" si="8"/>
        <v>0.58337310378908036</v>
      </c>
      <c r="P34" s="96">
        <f t="shared" si="9"/>
        <v>372.23364789223683</v>
      </c>
      <c r="Q34" s="96">
        <f t="shared" si="10"/>
        <v>289.56494884137783</v>
      </c>
      <c r="R34" s="96">
        <f t="shared" si="0"/>
        <v>36.08779272971671</v>
      </c>
      <c r="S34" s="97">
        <f t="shared" si="1"/>
        <v>11.284348273673679</v>
      </c>
      <c r="T34" s="98">
        <f t="shared" si="3"/>
        <v>-12.233647892236831</v>
      </c>
      <c r="U34" s="99">
        <f t="shared" si="4"/>
        <v>70.435051158622173</v>
      </c>
      <c r="V34" s="100">
        <f t="shared" si="5"/>
        <v>-36.08779272971671</v>
      </c>
      <c r="W34" s="100">
        <f t="shared" si="6"/>
        <v>-11.284348273673679</v>
      </c>
      <c r="X34" s="100"/>
      <c r="Y34" s="147"/>
    </row>
    <row r="35" spans="7:25">
      <c r="G35" s="121"/>
      <c r="H35" s="122"/>
      <c r="I35" s="115"/>
      <c r="J35" s="243" t="s">
        <v>105</v>
      </c>
      <c r="K35" s="123">
        <v>178</v>
      </c>
      <c r="M35" s="154">
        <f t="shared" si="7"/>
        <v>32.820839189400637</v>
      </c>
      <c r="N35" s="155">
        <f t="shared" si="2"/>
        <v>32.820839189400637</v>
      </c>
      <c r="O35" s="156">
        <f t="shared" si="8"/>
        <v>0.57283170712262788</v>
      </c>
      <c r="P35" s="96">
        <f t="shared" si="9"/>
        <v>372.73125187256994</v>
      </c>
      <c r="Q35" s="96">
        <f t="shared" si="10"/>
        <v>289.06734486104472</v>
      </c>
      <c r="R35" s="96">
        <f t="shared" si="0"/>
        <v>37.909833588778227</v>
      </c>
      <c r="S35" s="97">
        <f t="shared" si="1"/>
        <v>9.4623074146121695</v>
      </c>
      <c r="T35" s="98">
        <f t="shared" si="3"/>
        <v>-12.731251872569942</v>
      </c>
      <c r="U35" s="99">
        <f t="shared" si="4"/>
        <v>70.932655138955283</v>
      </c>
      <c r="V35" s="100">
        <f t="shared" si="5"/>
        <v>-37.909833588778227</v>
      </c>
      <c r="W35" s="100">
        <f t="shared" si="6"/>
        <v>-9.4623074146121695</v>
      </c>
      <c r="X35" s="100"/>
      <c r="Y35" s="147"/>
    </row>
    <row r="36" spans="7:25">
      <c r="G36" s="124"/>
      <c r="H36" s="125"/>
      <c r="I36" s="111"/>
      <c r="J36" s="243" t="s">
        <v>106</v>
      </c>
      <c r="K36" s="126">
        <f>ROUNDDOWN(K34*K35/K33,0)</f>
        <v>128</v>
      </c>
      <c r="M36" s="154">
        <f t="shared" ref="M36:M93" si="11">IF(N36&gt;maxn,maxn,IF(N36&lt;mins,mins,N36))</f>
        <v>32.216861650239636</v>
      </c>
      <c r="N36" s="155">
        <f t="shared" si="2"/>
        <v>32.216861650239636</v>
      </c>
      <c r="O36" s="156">
        <f t="shared" ref="O36:O93" si="12">RADIANS(M36)</f>
        <v>0.5622903104561755</v>
      </c>
      <c r="P36" s="96">
        <f t="shared" ref="P36:P93" si="13">IFERROR(DEGREES(grt+ACOS((SIN(h)-SIN(d)*SIN(O36))/COS(d)/COS(O36))),#N/A)</f>
        <v>373.21080528128959</v>
      </c>
      <c r="Q36" s="96">
        <f t="shared" ref="Q36:Q93" si="14">IFERROR(DEGREES(grt-ACOS((SIN(h)-SIN(d)*SIN(O36))/COS(d)/COS(O36))),#N/A)</f>
        <v>288.58779145232506</v>
      </c>
      <c r="R36" s="96">
        <f t="shared" si="0"/>
        <v>39.485045262906851</v>
      </c>
      <c r="S36" s="97">
        <f t="shared" si="1"/>
        <v>7.8870957404835424</v>
      </c>
      <c r="T36" s="98">
        <f t="shared" ref="T36:T93" si="15">IF(P36&lt;0,ABS(P36),IF(P36&gt;360,-(P36-360),IF(AND(P36&gt;180,P36&lt;360),ABS(360-P36),-P36)))</f>
        <v>-13.210805281289595</v>
      </c>
      <c r="U36" s="99">
        <f t="shared" ref="U36:U93" si="16">IF(Q36&lt;0,ABS(Q36),IF(Q36&gt;360,Q36-(Q36-360),IF(AND(Q36&gt;180,Q36&lt;360),ABS(360-Q36),-Q36)))</f>
        <v>71.412208547674936</v>
      </c>
      <c r="V36" s="100">
        <f t="shared" ref="V36:V93" si="17">IF(R36&lt;0,ABS(R36),IF(R36&gt;360,-(R36-360),IF(AND(R36&gt;180,R36&lt;360),ABS(360-R36),-R36)))</f>
        <v>-39.485045262906851</v>
      </c>
      <c r="W36" s="100">
        <f t="shared" ref="W36:W93" si="18">IF(S36&lt;0,ABS(S36),IF(S36&gt;360,-(S36-360),IF(AND(S36&gt;180,S36&lt;360),ABS(360-S36),-S36)))</f>
        <v>-7.8870957404835424</v>
      </c>
      <c r="X36" s="100"/>
      <c r="Y36" s="147"/>
    </row>
    <row r="37" spans="7:25">
      <c r="G37" s="121"/>
      <c r="H37" s="122"/>
      <c r="I37" s="115"/>
      <c r="J37" s="243" t="s">
        <v>107</v>
      </c>
      <c r="K37" s="127">
        <f>ROUNDUP((K35-K36)/2,0)</f>
        <v>25</v>
      </c>
      <c r="M37" s="154">
        <f t="shared" si="11"/>
        <v>31.612884111078632</v>
      </c>
      <c r="N37" s="155">
        <f t="shared" si="2"/>
        <v>31.612884111078632</v>
      </c>
      <c r="O37" s="156">
        <f t="shared" si="12"/>
        <v>0.55174891378972291</v>
      </c>
      <c r="P37" s="96">
        <f t="shared" si="13"/>
        <v>373.67320344566184</v>
      </c>
      <c r="Q37" s="96">
        <f t="shared" si="14"/>
        <v>288.12539328795276</v>
      </c>
      <c r="R37" s="96">
        <f t="shared" ref="R37:R68" si="19">IFERROR(DEGREES(grt_+ACOS((SIN(h_)-SIN(d_)*SIN(O37))/COS(d_)/COS(O37))),#N/A)</f>
        <v>40.882217096981869</v>
      </c>
      <c r="S37" s="97">
        <f t="shared" ref="S37:S68" si="20">IFERROR(DEGREES(grt_-ACOS((SIN(h_)-SIN(d_)*SIN(O37))/COS(d_)/COS(O37))),#N/A)</f>
        <v>6.4899239064085226</v>
      </c>
      <c r="T37" s="98">
        <f t="shared" si="15"/>
        <v>-13.673203445661841</v>
      </c>
      <c r="U37" s="99">
        <f t="shared" si="16"/>
        <v>71.874606712047239</v>
      </c>
      <c r="V37" s="100">
        <f t="shared" si="17"/>
        <v>-40.882217096981869</v>
      </c>
      <c r="W37" s="100">
        <f t="shared" si="18"/>
        <v>-6.4899239064085226</v>
      </c>
      <c r="X37" s="100"/>
      <c r="Y37" s="147"/>
    </row>
    <row r="38" spans="7:25" ht="17" thickBot="1">
      <c r="G38" s="128"/>
      <c r="H38" s="129"/>
      <c r="I38" s="130"/>
      <c r="J38" s="245" t="s">
        <v>108</v>
      </c>
      <c r="K38" s="131">
        <f>IF(minn=0,K33/K36,K34/K36)</f>
        <v>0.60397753916100372</v>
      </c>
      <c r="M38" s="154">
        <f t="shared" si="11"/>
        <v>31.008906571917628</v>
      </c>
      <c r="N38" s="155">
        <f t="shared" si="2"/>
        <v>31.008906571917628</v>
      </c>
      <c r="O38" s="156">
        <f t="shared" si="12"/>
        <v>0.54120751712327042</v>
      </c>
      <c r="P38" s="96">
        <f t="shared" si="13"/>
        <v>374.11927085957677</v>
      </c>
      <c r="Q38" s="96">
        <f t="shared" si="14"/>
        <v>287.67932587403789</v>
      </c>
      <c r="R38" s="96">
        <f t="shared" si="19"/>
        <v>42.142563267231658</v>
      </c>
      <c r="S38" s="97">
        <f t="shared" si="20"/>
        <v>5.2295777361587312</v>
      </c>
      <c r="T38" s="98">
        <f t="shared" si="15"/>
        <v>-14.119270859576773</v>
      </c>
      <c r="U38" s="99">
        <f t="shared" si="16"/>
        <v>72.320674125962114</v>
      </c>
      <c r="V38" s="100">
        <f t="shared" si="17"/>
        <v>-42.142563267231658</v>
      </c>
      <c r="W38" s="100">
        <f t="shared" si="18"/>
        <v>-5.2295777361587312</v>
      </c>
      <c r="X38" s="100"/>
      <c r="Y38" s="147"/>
    </row>
    <row r="39" spans="7:25">
      <c r="M39" s="154">
        <f t="shared" si="11"/>
        <v>30.404929032756623</v>
      </c>
      <c r="N39" s="155">
        <f t="shared" si="2"/>
        <v>30.404929032756623</v>
      </c>
      <c r="O39" s="156">
        <f t="shared" si="12"/>
        <v>0.53066612045681794</v>
      </c>
      <c r="P39" s="96">
        <f t="shared" si="13"/>
        <v>374.54976859897255</v>
      </c>
      <c r="Q39" s="96">
        <f t="shared" si="14"/>
        <v>287.24882813464205</v>
      </c>
      <c r="R39" s="96">
        <f t="shared" si="19"/>
        <v>43.293152500968596</v>
      </c>
      <c r="S39" s="97">
        <f t="shared" si="20"/>
        <v>4.0789885024217973</v>
      </c>
      <c r="T39" s="98">
        <f t="shared" si="15"/>
        <v>-14.549768598972548</v>
      </c>
      <c r="U39" s="99">
        <f t="shared" si="16"/>
        <v>72.751171865357946</v>
      </c>
      <c r="V39" s="100">
        <f t="shared" si="17"/>
        <v>-43.293152500968596</v>
      </c>
      <c r="W39" s="100">
        <f t="shared" si="18"/>
        <v>-4.0789885024217973</v>
      </c>
      <c r="X39" s="100"/>
      <c r="Y39" s="147"/>
    </row>
    <row r="40" spans="7:25" ht="16" customHeight="1">
      <c r="M40" s="154">
        <f t="shared" si="11"/>
        <v>29.800951493595619</v>
      </c>
      <c r="N40" s="155">
        <f t="shared" si="2"/>
        <v>29.800951493595619</v>
      </c>
      <c r="O40" s="156">
        <f t="shared" si="12"/>
        <v>0.52012472379036545</v>
      </c>
      <c r="P40" s="96">
        <f t="shared" si="13"/>
        <v>374.96540075420097</v>
      </c>
      <c r="Q40" s="96">
        <f t="shared" si="14"/>
        <v>286.83319597941363</v>
      </c>
      <c r="R40" s="96">
        <f t="shared" si="19"/>
        <v>44.352930744015936</v>
      </c>
      <c r="S40" s="97">
        <f t="shared" si="20"/>
        <v>3.0192102593744594</v>
      </c>
      <c r="T40" s="98">
        <f t="shared" si="15"/>
        <v>-14.965400754200971</v>
      </c>
      <c r="U40" s="99">
        <f t="shared" si="16"/>
        <v>73.166804020586369</v>
      </c>
      <c r="V40" s="100">
        <f t="shared" si="17"/>
        <v>-44.352930744015936</v>
      </c>
      <c r="W40" s="100">
        <f t="shared" si="18"/>
        <v>-3.0192102593744594</v>
      </c>
      <c r="X40" s="100"/>
      <c r="Y40" s="147"/>
    </row>
    <row r="41" spans="7:25" ht="1" customHeight="1">
      <c r="M41" s="154">
        <f t="shared" si="11"/>
        <v>29.196973954434615</v>
      </c>
      <c r="N41" s="155">
        <f t="shared" si="2"/>
        <v>29.196973954434615</v>
      </c>
      <c r="O41" s="156">
        <f t="shared" si="12"/>
        <v>0.50958332712391285</v>
      </c>
      <c r="P41" s="96">
        <f t="shared" si="13"/>
        <v>375.36682003508344</v>
      </c>
      <c r="Q41" s="96">
        <f t="shared" si="14"/>
        <v>286.43177669853117</v>
      </c>
      <c r="R41" s="96">
        <f t="shared" si="19"/>
        <v>45.335793966429527</v>
      </c>
      <c r="S41" s="97">
        <f t="shared" si="20"/>
        <v>2.0363470369608656</v>
      </c>
      <c r="T41" s="98">
        <f t="shared" si="15"/>
        <v>-15.366820035083435</v>
      </c>
      <c r="U41" s="99">
        <f t="shared" si="16"/>
        <v>73.568223301468834</v>
      </c>
      <c r="V41" s="100">
        <f t="shared" si="17"/>
        <v>-45.335793966429527</v>
      </c>
      <c r="W41" s="100">
        <f t="shared" si="18"/>
        <v>-2.0363470369608656</v>
      </c>
      <c r="X41" s="100"/>
      <c r="Y41" s="147"/>
    </row>
    <row r="42" spans="7:25" ht="1" customHeight="1">
      <c r="M42" s="154">
        <f t="shared" si="11"/>
        <v>28.59299641527361</v>
      </c>
      <c r="N42" s="155">
        <f t="shared" si="2"/>
        <v>28.59299641527361</v>
      </c>
      <c r="O42" s="156">
        <f t="shared" si="12"/>
        <v>0.49904193045746037</v>
      </c>
      <c r="P42" s="96">
        <f t="shared" si="13"/>
        <v>375.75463267589657</v>
      </c>
      <c r="Q42" s="96">
        <f t="shared" si="14"/>
        <v>286.04396405771809</v>
      </c>
      <c r="R42" s="96">
        <f t="shared" si="19"/>
        <v>46.252306905015736</v>
      </c>
      <c r="S42" s="97">
        <f t="shared" si="20"/>
        <v>1.1198340983746573</v>
      </c>
      <c r="T42" s="98">
        <f t="shared" si="15"/>
        <v>-15.754632675896573</v>
      </c>
      <c r="U42" s="99">
        <f t="shared" si="16"/>
        <v>73.956035942281915</v>
      </c>
      <c r="V42" s="100">
        <f t="shared" si="17"/>
        <v>-46.252306905015736</v>
      </c>
      <c r="W42" s="100">
        <f t="shared" si="18"/>
        <v>-1.1198340983746573</v>
      </c>
      <c r="X42" s="100"/>
      <c r="Y42" s="147"/>
    </row>
    <row r="43" spans="7:25" ht="1" customHeight="1">
      <c r="M43" s="154">
        <f t="shared" si="11"/>
        <v>27.989018876112606</v>
      </c>
      <c r="N43" s="155">
        <f t="shared" si="2"/>
        <v>27.989018876112606</v>
      </c>
      <c r="O43" s="156">
        <f t="shared" si="12"/>
        <v>0.48850053379100783</v>
      </c>
      <c r="P43" s="96">
        <f t="shared" si="13"/>
        <v>376.1294027448904</v>
      </c>
      <c r="Q43" s="96">
        <f t="shared" si="14"/>
        <v>285.6691939887242</v>
      </c>
      <c r="R43" s="96">
        <f t="shared" si="19"/>
        <v>47.110733356650933</v>
      </c>
      <c r="S43" s="97">
        <f t="shared" si="20"/>
        <v>0.26140764673945971</v>
      </c>
      <c r="T43" s="98">
        <f t="shared" si="15"/>
        <v>-16.129402744890399</v>
      </c>
      <c r="U43" s="99">
        <f t="shared" si="16"/>
        <v>74.330806011275797</v>
      </c>
      <c r="V43" s="100">
        <f t="shared" si="17"/>
        <v>-47.110733356650933</v>
      </c>
      <c r="W43" s="100">
        <f t="shared" si="18"/>
        <v>-0.26140764673945971</v>
      </c>
      <c r="X43" s="100"/>
      <c r="Y43" s="147"/>
    </row>
    <row r="44" spans="7:25" ht="1" customHeight="1">
      <c r="M44" s="154">
        <f t="shared" si="11"/>
        <v>27.385041336951602</v>
      </c>
      <c r="N44" s="155">
        <f t="shared" si="2"/>
        <v>27.385041336951602</v>
      </c>
      <c r="O44" s="156">
        <f t="shared" si="12"/>
        <v>0.47795913712455534</v>
      </c>
      <c r="P44" s="96">
        <f t="shared" si="13"/>
        <v>376.49165594484566</v>
      </c>
      <c r="Q44" s="96">
        <f t="shared" si="14"/>
        <v>285.306940788769</v>
      </c>
      <c r="R44" s="96">
        <f t="shared" si="19"/>
        <v>47.917688189622481</v>
      </c>
      <c r="S44" s="97">
        <f t="shared" si="20"/>
        <v>-0.54554718623209131</v>
      </c>
      <c r="T44" s="98">
        <f t="shared" si="15"/>
        <v>-16.491655944845661</v>
      </c>
      <c r="U44" s="99">
        <f>IF(Q44&lt;0,ABS(Q44),IF(Q44&gt;360,Q44-(Q44-360),IF(AND(Q44&gt;180,Q44&lt;360),ABS(360-Q44),-Q44)))</f>
        <v>74.693059211231002</v>
      </c>
      <c r="V44" s="100">
        <f t="shared" si="17"/>
        <v>-47.917688189622481</v>
      </c>
      <c r="W44" s="100">
        <f t="shared" si="18"/>
        <v>0.54554718623209131</v>
      </c>
      <c r="X44" s="100"/>
      <c r="Y44" s="147"/>
    </row>
    <row r="45" spans="7:25" ht="1" customHeight="1">
      <c r="M45" s="154">
        <f t="shared" si="11"/>
        <v>26.781063797790598</v>
      </c>
      <c r="N45" s="155">
        <f t="shared" si="2"/>
        <v>26.781063797790598</v>
      </c>
      <c r="O45" s="156">
        <f t="shared" si="12"/>
        <v>0.4674177404581028</v>
      </c>
      <c r="P45" s="96">
        <f t="shared" si="13"/>
        <v>376.84188297661115</v>
      </c>
      <c r="Q45" s="96">
        <f t="shared" si="14"/>
        <v>284.95671375700351</v>
      </c>
      <c r="R45" s="96">
        <f t="shared" si="19"/>
        <v>48.678568386131637</v>
      </c>
      <c r="S45" s="97">
        <f t="shared" si="20"/>
        <v>-1.3064273827412474</v>
      </c>
      <c r="T45" s="98">
        <f t="shared" si="15"/>
        <v>-16.841882976611146</v>
      </c>
      <c r="U45" s="99">
        <f t="shared" si="16"/>
        <v>75.043286242996487</v>
      </c>
      <c r="V45" s="100">
        <f t="shared" si="17"/>
        <v>-48.678568386131637</v>
      </c>
      <c r="W45" s="100">
        <f t="shared" si="18"/>
        <v>1.3064273827412474</v>
      </c>
      <c r="X45" s="100"/>
      <c r="Y45" s="147"/>
    </row>
    <row r="46" spans="7:25" ht="1" customHeight="1">
      <c r="M46" s="154">
        <f t="shared" si="11"/>
        <v>26.177086258629593</v>
      </c>
      <c r="N46" s="155">
        <f t="shared" si="2"/>
        <v>26.177086258629593</v>
      </c>
      <c r="O46" s="156">
        <f t="shared" si="12"/>
        <v>0.45687634379165032</v>
      </c>
      <c r="P46" s="96">
        <f t="shared" si="13"/>
        <v>377.18054252576655</v>
      </c>
      <c r="Q46" s="96">
        <f t="shared" si="14"/>
        <v>284.61805420784805</v>
      </c>
      <c r="R46" s="96">
        <f t="shared" si="19"/>
        <v>49.397848446804915</v>
      </c>
      <c r="S46" s="97">
        <f t="shared" si="20"/>
        <v>-2.0257074434145226</v>
      </c>
      <c r="T46" s="98">
        <f t="shared" si="15"/>
        <v>-17.180542525766555</v>
      </c>
      <c r="U46" s="99">
        <f t="shared" si="16"/>
        <v>75.381945792151953</v>
      </c>
      <c r="V46" s="100">
        <f t="shared" si="17"/>
        <v>-49.397848446804915</v>
      </c>
      <c r="W46" s="100">
        <f t="shared" si="18"/>
        <v>2.0257074434145226</v>
      </c>
      <c r="X46" s="100"/>
      <c r="Y46" s="147"/>
    </row>
    <row r="47" spans="7:25" ht="1" customHeight="1">
      <c r="M47" s="154">
        <f t="shared" si="11"/>
        <v>25.573108719468589</v>
      </c>
      <c r="N47" s="155">
        <f t="shared" si="2"/>
        <v>25.573108719468589</v>
      </c>
      <c r="O47" s="156">
        <f t="shared" si="12"/>
        <v>0.44633494712519778</v>
      </c>
      <c r="P47" s="96">
        <f t="shared" si="13"/>
        <v>377.50806392294237</v>
      </c>
      <c r="Q47" s="96">
        <f t="shared" si="14"/>
        <v>284.29053281067229</v>
      </c>
      <c r="R47" s="96">
        <f t="shared" si="19"/>
        <v>50.0792890458249</v>
      </c>
      <c r="S47" s="97">
        <f t="shared" si="20"/>
        <v>-2.7071480424345071</v>
      </c>
      <c r="T47" s="98">
        <f t="shared" si="15"/>
        <v>-17.50806392294237</v>
      </c>
      <c r="U47" s="99">
        <f t="shared" si="16"/>
        <v>75.709467189327711</v>
      </c>
      <c r="V47" s="100">
        <f t="shared" si="17"/>
        <v>-50.0792890458249</v>
      </c>
      <c r="W47" s="100">
        <f t="shared" si="18"/>
        <v>2.7071480424345071</v>
      </c>
      <c r="X47" s="100"/>
      <c r="Y47" s="147"/>
    </row>
    <row r="48" spans="7:25" ht="1" customHeight="1">
      <c r="M48" s="154">
        <f t="shared" si="11"/>
        <v>24.969131180307585</v>
      </c>
      <c r="N48" s="155">
        <f t="shared" si="2"/>
        <v>24.969131180307585</v>
      </c>
      <c r="O48" s="156">
        <f t="shared" si="12"/>
        <v>0.43579355045874529</v>
      </c>
      <c r="P48" s="96">
        <f t="shared" si="13"/>
        <v>377.82484952045507</v>
      </c>
      <c r="Q48" s="96">
        <f t="shared" si="14"/>
        <v>283.97374721315958</v>
      </c>
      <c r="R48" s="96">
        <f t="shared" si="19"/>
        <v>50.726088250521279</v>
      </c>
      <c r="S48" s="97">
        <f t="shared" si="20"/>
        <v>-3.353947247130884</v>
      </c>
      <c r="T48" s="98">
        <f t="shared" si="15"/>
        <v>-17.824849520455075</v>
      </c>
      <c r="U48" s="99">
        <f t="shared" si="16"/>
        <v>76.026252786840416</v>
      </c>
      <c r="V48" s="100">
        <f t="shared" si="17"/>
        <v>-50.726088250521279</v>
      </c>
      <c r="W48" s="100">
        <f t="shared" si="18"/>
        <v>3.353947247130884</v>
      </c>
      <c r="X48" s="100"/>
      <c r="Y48" s="147"/>
    </row>
    <row r="49" spans="13:25" ht="1" customHeight="1">
      <c r="M49" s="154">
        <f t="shared" si="11"/>
        <v>24.365153641146581</v>
      </c>
      <c r="N49" s="155">
        <f t="shared" si="2"/>
        <v>24.365153641146581</v>
      </c>
      <c r="O49" s="156">
        <f t="shared" si="12"/>
        <v>0.42525215379229275</v>
      </c>
      <c r="P49" s="96">
        <f t="shared" si="13"/>
        <v>378.1312768214284</v>
      </c>
      <c r="Q49" s="96">
        <f t="shared" si="14"/>
        <v>283.6673199121862</v>
      </c>
      <c r="R49" s="96">
        <f t="shared" si="19"/>
        <v>51.340993571927136</v>
      </c>
      <c r="S49" s="97">
        <f t="shared" si="20"/>
        <v>-3.9688525685367417</v>
      </c>
      <c r="T49" s="98">
        <f t="shared" si="15"/>
        <v>-18.131276821428401</v>
      </c>
      <c r="U49" s="99">
        <f t="shared" si="16"/>
        <v>76.332680087813799</v>
      </c>
      <c r="V49" s="100">
        <f t="shared" si="17"/>
        <v>-51.340993571927136</v>
      </c>
      <c r="W49" s="100">
        <f t="shared" si="18"/>
        <v>3.9688525685367417</v>
      </c>
      <c r="X49" s="100"/>
      <c r="Y49" s="147"/>
    </row>
    <row r="50" spans="13:25" ht="1" customHeight="1">
      <c r="M50" s="154">
        <f t="shared" si="11"/>
        <v>23.761176101985576</v>
      </c>
      <c r="N50" s="155">
        <f t="shared" si="2"/>
        <v>23.761176101985576</v>
      </c>
      <c r="O50" s="156">
        <f t="shared" si="12"/>
        <v>0.41471075712584027</v>
      </c>
      <c r="P50" s="96">
        <f t="shared" si="13"/>
        <v>378.42770039220005</v>
      </c>
      <c r="Q50" s="96">
        <f t="shared" si="14"/>
        <v>283.37089634141461</v>
      </c>
      <c r="R50" s="96">
        <f t="shared" si="19"/>
        <v>51.926386610898412</v>
      </c>
      <c r="S50" s="97">
        <f t="shared" si="20"/>
        <v>-4.554245607508018</v>
      </c>
      <c r="T50" s="98">
        <f t="shared" si="15"/>
        <v>-18.427700392200052</v>
      </c>
      <c r="U50" s="99">
        <f t="shared" si="16"/>
        <v>76.629103658585393</v>
      </c>
      <c r="V50" s="100">
        <f t="shared" si="17"/>
        <v>-51.926386610898412</v>
      </c>
      <c r="W50" s="100">
        <f t="shared" si="18"/>
        <v>4.554245607508018</v>
      </c>
      <c r="X50" s="100"/>
      <c r="Y50" s="147"/>
    </row>
    <row r="51" spans="13:25" ht="1" customHeight="1">
      <c r="M51" s="154">
        <f t="shared" si="11"/>
        <v>23.157198562824572</v>
      </c>
      <c r="N51" s="155">
        <f t="shared" si="2"/>
        <v>23.157198562824572</v>
      </c>
      <c r="O51" s="156">
        <f t="shared" si="12"/>
        <v>0.40416936045938773</v>
      </c>
      <c r="P51" s="96">
        <f t="shared" si="13"/>
        <v>378.71445358434642</v>
      </c>
      <c r="Q51" s="96">
        <f t="shared" si="14"/>
        <v>283.08414314926824</v>
      </c>
      <c r="R51" s="96">
        <f t="shared" si="19"/>
        <v>52.484348097041583</v>
      </c>
      <c r="S51" s="97">
        <f t="shared" si="20"/>
        <v>-5.1122070936511905</v>
      </c>
      <c r="T51" s="98">
        <f t="shared" si="15"/>
        <v>-18.714453584346415</v>
      </c>
      <c r="U51" s="99">
        <f t="shared" si="16"/>
        <v>76.915856850731757</v>
      </c>
      <c r="V51" s="100">
        <f t="shared" si="17"/>
        <v>-52.484348097041583</v>
      </c>
      <c r="W51" s="100">
        <f t="shared" si="18"/>
        <v>5.1122070936511905</v>
      </c>
      <c r="X51" s="100"/>
      <c r="Y51" s="147"/>
    </row>
    <row r="52" spans="13:25" ht="1" customHeight="1">
      <c r="M52" s="154">
        <f t="shared" si="11"/>
        <v>22.553221023663568</v>
      </c>
      <c r="N52" s="155">
        <f t="shared" si="2"/>
        <v>22.553221023663568</v>
      </c>
      <c r="O52" s="156">
        <f t="shared" si="12"/>
        <v>0.39362796379293524</v>
      </c>
      <c r="P52" s="96">
        <f t="shared" si="13"/>
        <v>378.99185008892459</v>
      </c>
      <c r="Q52" s="96">
        <f t="shared" si="14"/>
        <v>282.80674664469007</v>
      </c>
      <c r="R52" s="96">
        <f t="shared" si="19"/>
        <v>53.016708619641385</v>
      </c>
      <c r="S52" s="97">
        <f t="shared" si="20"/>
        <v>-5.644567616250991</v>
      </c>
      <c r="T52" s="98">
        <f t="shared" si="15"/>
        <v>-18.991850088924593</v>
      </c>
      <c r="U52" s="99">
        <f t="shared" si="16"/>
        <v>77.193253355309935</v>
      </c>
      <c r="V52" s="100">
        <f t="shared" si="17"/>
        <v>-53.016708619641385</v>
      </c>
      <c r="W52" s="100">
        <f t="shared" si="18"/>
        <v>5.644567616250991</v>
      </c>
      <c r="X52" s="100"/>
      <c r="Y52" s="147"/>
    </row>
    <row r="53" spans="13:25" ht="1" customHeight="1">
      <c r="M53" s="154">
        <f t="shared" si="11"/>
        <v>21.949243484502563</v>
      </c>
      <c r="N53" s="155">
        <f t="shared" si="2"/>
        <v>21.949243484502563</v>
      </c>
      <c r="O53" s="156">
        <f t="shared" si="12"/>
        <v>0.3830865671264827</v>
      </c>
      <c r="P53" s="96">
        <f t="shared" si="13"/>
        <v>379.2601853423966</v>
      </c>
      <c r="Q53" s="96">
        <f t="shared" si="14"/>
        <v>282.53841139121801</v>
      </c>
      <c r="R53" s="96">
        <f t="shared" si="19"/>
        <v>53.525088732870557</v>
      </c>
      <c r="S53" s="97">
        <f t="shared" si="20"/>
        <v>-6.1529477294801627</v>
      </c>
      <c r="T53" s="98">
        <f t="shared" si="15"/>
        <v>-19.260185342396596</v>
      </c>
      <c r="U53" s="99">
        <f t="shared" si="16"/>
        <v>77.461588608781994</v>
      </c>
      <c r="V53" s="100">
        <f t="shared" si="17"/>
        <v>-53.525088732870557</v>
      </c>
      <c r="W53" s="100">
        <f t="shared" si="18"/>
        <v>6.1529477294801627</v>
      </c>
      <c r="X53" s="100"/>
      <c r="Y53" s="147"/>
    </row>
    <row r="54" spans="13:25" ht="1" customHeight="1">
      <c r="M54" s="154">
        <f t="shared" si="11"/>
        <v>21.345265945341559</v>
      </c>
      <c r="N54" s="155">
        <f t="shared" si="2"/>
        <v>21.345265945341559</v>
      </c>
      <c r="O54" s="156">
        <f t="shared" si="12"/>
        <v>0.37254517046003022</v>
      </c>
      <c r="P54" s="96">
        <f t="shared" si="13"/>
        <v>379.51973780106022</v>
      </c>
      <c r="Q54" s="96">
        <f t="shared" si="14"/>
        <v>282.27885893255444</v>
      </c>
      <c r="R54" s="96">
        <f t="shared" si="19"/>
        <v>54.010931045087993</v>
      </c>
      <c r="S54" s="97">
        <f t="shared" si="20"/>
        <v>-6.6387900416975993</v>
      </c>
      <c r="T54" s="98">
        <f t="shared" si="15"/>
        <v>-19.519737801060216</v>
      </c>
      <c r="U54" s="99">
        <f t="shared" si="16"/>
        <v>77.721141067445558</v>
      </c>
      <c r="V54" s="100">
        <f t="shared" si="17"/>
        <v>-54.010931045087993</v>
      </c>
      <c r="W54" s="100">
        <f t="shared" si="18"/>
        <v>6.6387900416975993</v>
      </c>
      <c r="X54" s="100"/>
      <c r="Y54" s="147"/>
    </row>
    <row r="55" spans="13:25" ht="1" customHeight="1">
      <c r="M55" s="154">
        <f t="shared" si="11"/>
        <v>20.741288406180555</v>
      </c>
      <c r="N55" s="155">
        <f t="shared" si="2"/>
        <v>20.741288406180555</v>
      </c>
      <c r="O55" s="156">
        <f t="shared" si="12"/>
        <v>0.36200377379357768</v>
      </c>
      <c r="P55" s="96">
        <f t="shared" si="13"/>
        <v>379.77077009857584</v>
      </c>
      <c r="Q55" s="96">
        <f t="shared" si="14"/>
        <v>282.02782663503876</v>
      </c>
      <c r="R55" s="96">
        <f t="shared" si="19"/>
        <v>54.475526174985809</v>
      </c>
      <c r="S55" s="97">
        <f t="shared" si="20"/>
        <v>-7.1033851715954199</v>
      </c>
      <c r="T55" s="98">
        <f t="shared" si="15"/>
        <v>-19.770770098575838</v>
      </c>
      <c r="U55" s="99">
        <f t="shared" si="16"/>
        <v>77.972173364961236</v>
      </c>
      <c r="V55" s="100">
        <f t="shared" si="17"/>
        <v>-54.475526174985809</v>
      </c>
      <c r="W55" s="100">
        <f t="shared" si="18"/>
        <v>7.1033851715954199</v>
      </c>
      <c r="X55" s="100"/>
      <c r="Y55" s="147"/>
    </row>
    <row r="56" spans="13:25" ht="1" customHeight="1">
      <c r="M56" s="154">
        <f t="shared" si="11"/>
        <v>20.137310867019551</v>
      </c>
      <c r="N56" s="155">
        <f t="shared" si="2"/>
        <v>20.137310867019551</v>
      </c>
      <c r="O56" s="156">
        <f t="shared" si="12"/>
        <v>0.35146237712712514</v>
      </c>
      <c r="P56" s="96">
        <f t="shared" si="13"/>
        <v>380.01353009928141</v>
      </c>
      <c r="Q56" s="96">
        <f t="shared" si="14"/>
        <v>281.78506663433319</v>
      </c>
      <c r="R56" s="96">
        <f t="shared" si="19"/>
        <v>54.920033954717198</v>
      </c>
      <c r="S56" s="97">
        <f t="shared" si="20"/>
        <v>-7.547892951326804</v>
      </c>
      <c r="T56" s="98">
        <f t="shared" si="15"/>
        <v>-20.013530099281411</v>
      </c>
      <c r="U56" s="99">
        <f t="shared" si="16"/>
        <v>78.214933365666809</v>
      </c>
      <c r="V56" s="100">
        <f t="shared" si="17"/>
        <v>-54.920033954717198</v>
      </c>
      <c r="W56" s="100">
        <f t="shared" si="18"/>
        <v>7.547892951326804</v>
      </c>
      <c r="X56" s="100"/>
      <c r="Y56" s="147"/>
    </row>
    <row r="57" spans="13:25" ht="1" customHeight="1">
      <c r="M57" s="154">
        <f t="shared" si="11"/>
        <v>19.533333327858546</v>
      </c>
      <c r="N57" s="155">
        <f t="shared" si="2"/>
        <v>19.533333327858546</v>
      </c>
      <c r="O57" s="156">
        <f t="shared" si="12"/>
        <v>0.34092098046067265</v>
      </c>
      <c r="P57" s="96">
        <f t="shared" si="13"/>
        <v>380.24825185836761</v>
      </c>
      <c r="Q57" s="96">
        <f t="shared" si="14"/>
        <v>281.55034487524699</v>
      </c>
      <c r="R57" s="96">
        <f t="shared" si="19"/>
        <v>55.345500906450624</v>
      </c>
      <c r="S57" s="97">
        <f t="shared" si="20"/>
        <v>-7.973359903060234</v>
      </c>
      <c r="T57" s="98">
        <f t="shared" si="15"/>
        <v>-20.24825185836761</v>
      </c>
      <c r="U57" s="99">
        <f t="shared" si="16"/>
        <v>78.449655124753008</v>
      </c>
      <c r="V57" s="100">
        <f t="shared" si="17"/>
        <v>-55.345500906450624</v>
      </c>
      <c r="W57" s="100">
        <f t="shared" si="18"/>
        <v>7.973359903060234</v>
      </c>
      <c r="X57" s="100"/>
      <c r="Y57" s="147"/>
    </row>
    <row r="58" spans="13:25" ht="1" customHeight="1">
      <c r="M58" s="154">
        <f t="shared" si="11"/>
        <v>18.929355788697542</v>
      </c>
      <c r="N58" s="155">
        <f t="shared" si="2"/>
        <v>18.929355788697542</v>
      </c>
      <c r="O58" s="156">
        <f t="shared" si="12"/>
        <v>0.33037958379422011</v>
      </c>
      <c r="P58" s="96">
        <f t="shared" si="13"/>
        <v>380.47515649860401</v>
      </c>
      <c r="Q58" s="96">
        <f t="shared" si="14"/>
        <v>281.32344023501059</v>
      </c>
      <c r="R58" s="96">
        <f t="shared" si="19"/>
        <v>55.752874765885004</v>
      </c>
      <c r="S58" s="97">
        <f t="shared" si="20"/>
        <v>-8.3807337624946125</v>
      </c>
      <c r="T58" s="98">
        <f t="shared" si="15"/>
        <v>-20.475156498604008</v>
      </c>
      <c r="U58" s="99">
        <f t="shared" si="16"/>
        <v>78.676559764989406</v>
      </c>
      <c r="V58" s="100">
        <f t="shared" si="17"/>
        <v>-55.752874765885004</v>
      </c>
      <c r="W58" s="100">
        <f t="shared" si="18"/>
        <v>8.3807337624946125</v>
      </c>
      <c r="X58" s="100"/>
      <c r="Y58" s="147"/>
    </row>
    <row r="59" spans="13:25" ht="1" customHeight="1">
      <c r="M59" s="154">
        <f t="shared" si="11"/>
        <v>18.325378249536538</v>
      </c>
      <c r="N59" s="155">
        <f t="shared" si="2"/>
        <v>18.325378249536538</v>
      </c>
      <c r="O59" s="156">
        <f t="shared" si="12"/>
        <v>0.31983818712776763</v>
      </c>
      <c r="P59" s="96">
        <f t="shared" si="13"/>
        <v>380.69445301211596</v>
      </c>
      <c r="Q59" s="96">
        <f t="shared" si="14"/>
        <v>281.1041437214987</v>
      </c>
      <c r="R59" s="96">
        <f t="shared" si="19"/>
        <v>56.143016642739454</v>
      </c>
      <c r="S59" s="97">
        <f t="shared" si="20"/>
        <v>-8.7708756393490592</v>
      </c>
      <c r="T59" s="98">
        <f t="shared" si="15"/>
        <v>-20.694453012115957</v>
      </c>
      <c r="U59" s="99">
        <f t="shared" si="16"/>
        <v>78.895856278501299</v>
      </c>
      <c r="V59" s="100">
        <f t="shared" si="17"/>
        <v>-56.143016642739454</v>
      </c>
      <c r="W59" s="100">
        <f t="shared" si="18"/>
        <v>8.7708756393490592</v>
      </c>
      <c r="X59" s="100"/>
      <c r="Y59" s="147"/>
    </row>
    <row r="60" spans="13:25" ht="1" customHeight="1">
      <c r="M60" s="154">
        <f t="shared" si="11"/>
        <v>17.721400710375534</v>
      </c>
      <c r="N60" s="155">
        <f t="shared" si="2"/>
        <v>17.721400710375534</v>
      </c>
      <c r="O60" s="156">
        <f t="shared" si="12"/>
        <v>0.30929679046131509</v>
      </c>
      <c r="P60" s="96">
        <f t="shared" si="13"/>
        <v>380.90633899469157</v>
      </c>
      <c r="Q60" s="96">
        <f t="shared" si="14"/>
        <v>280.89225773892309</v>
      </c>
      <c r="R60" s="96">
        <f t="shared" si="19"/>
        <v>56.516711273262992</v>
      </c>
      <c r="S60" s="97">
        <f t="shared" si="20"/>
        <v>-9.1445702698725988</v>
      </c>
      <c r="T60" s="98">
        <f t="shared" si="15"/>
        <v>-20.906338994691566</v>
      </c>
      <c r="U60" s="99">
        <f t="shared" si="16"/>
        <v>79.107742261076908</v>
      </c>
      <c r="V60" s="100">
        <f t="shared" si="17"/>
        <v>-56.516711273262992</v>
      </c>
      <c r="W60" s="100">
        <f t="shared" si="18"/>
        <v>9.1445702698725988</v>
      </c>
      <c r="X60" s="100"/>
      <c r="Y60" s="147"/>
    </row>
    <row r="61" spans="13:25" ht="1" customHeight="1">
      <c r="M61" s="154">
        <f t="shared" si="11"/>
        <v>17.117423171214529</v>
      </c>
      <c r="N61" s="155">
        <f t="shared" si="2"/>
        <v>17.117423171214529</v>
      </c>
      <c r="O61" s="156">
        <f t="shared" si="12"/>
        <v>0.2987553937948626</v>
      </c>
      <c r="P61" s="96">
        <f t="shared" si="13"/>
        <v>381.11100131921313</v>
      </c>
      <c r="Q61" s="96">
        <f t="shared" si="14"/>
        <v>280.68759541440153</v>
      </c>
      <c r="R61" s="96">
        <f t="shared" si="19"/>
        <v>56.874675719314205</v>
      </c>
      <c r="S61" s="97">
        <f t="shared" si="20"/>
        <v>-9.5025347159238081</v>
      </c>
      <c r="T61" s="98">
        <f t="shared" si="15"/>
        <v>-21.111001319213131</v>
      </c>
      <c r="U61" s="99">
        <f t="shared" si="16"/>
        <v>79.312404585598472</v>
      </c>
      <c r="V61" s="100">
        <f t="shared" si="17"/>
        <v>-56.874675719314205</v>
      </c>
      <c r="W61" s="100">
        <f t="shared" si="18"/>
        <v>9.5025347159238081</v>
      </c>
      <c r="X61" s="100"/>
      <c r="Y61" s="147"/>
    </row>
    <row r="62" spans="13:25" ht="1" customHeight="1">
      <c r="M62" s="154">
        <f t="shared" si="11"/>
        <v>16.513445632053525</v>
      </c>
      <c r="N62" s="155">
        <f t="shared" si="2"/>
        <v>16.513445632053525</v>
      </c>
      <c r="O62" s="156">
        <f t="shared" si="12"/>
        <v>0.28821399712841006</v>
      </c>
      <c r="P62" s="96">
        <f t="shared" si="13"/>
        <v>381.30861675404242</v>
      </c>
      <c r="Q62" s="96">
        <f t="shared" si="14"/>
        <v>280.48997997957224</v>
      </c>
      <c r="R62" s="96">
        <f t="shared" si="19"/>
        <v>57.217566792877385</v>
      </c>
      <c r="S62" s="97">
        <f t="shared" si="20"/>
        <v>-9.8454257894869901</v>
      </c>
      <c r="T62" s="98">
        <f t="shared" si="15"/>
        <v>-21.308616754042419</v>
      </c>
      <c r="U62" s="99">
        <f t="shared" si="16"/>
        <v>79.51002002042776</v>
      </c>
      <c r="V62" s="100">
        <f t="shared" si="17"/>
        <v>-57.217566792877385</v>
      </c>
      <c r="W62" s="100">
        <f t="shared" si="18"/>
        <v>9.8454257894869901</v>
      </c>
      <c r="X62" s="100"/>
      <c r="Y62" s="147"/>
    </row>
    <row r="63" spans="13:25" ht="1" customHeight="1">
      <c r="M63" s="154">
        <f t="shared" si="11"/>
        <v>15.909468092892521</v>
      </c>
      <c r="N63" s="155">
        <f t="shared" si="2"/>
        <v>15.909468092892521</v>
      </c>
      <c r="O63" s="156">
        <f t="shared" si="12"/>
        <v>0.27767260046195757</v>
      </c>
      <c r="P63" s="96">
        <f t="shared" si="13"/>
        <v>381.49935253152404</v>
      </c>
      <c r="Q63" s="96">
        <f t="shared" si="14"/>
        <v>280.29924420209062</v>
      </c>
      <c r="R63" s="96">
        <f t="shared" si="19"/>
        <v>57.54598742727876</v>
      </c>
      <c r="S63" s="97">
        <f t="shared" si="20"/>
        <v>-10.173846423888362</v>
      </c>
      <c r="T63" s="98">
        <f t="shared" si="15"/>
        <v>-21.499352531524039</v>
      </c>
      <c r="U63" s="99">
        <f t="shared" si="16"/>
        <v>79.70075579790938</v>
      </c>
      <c r="V63" s="100">
        <f t="shared" si="17"/>
        <v>-57.54598742727876</v>
      </c>
      <c r="W63" s="100">
        <f t="shared" si="18"/>
        <v>10.173846423888362</v>
      </c>
      <c r="X63" s="100"/>
      <c r="Y63" s="147"/>
    </row>
    <row r="64" spans="13:25" ht="1" customHeight="1">
      <c r="M64" s="154">
        <f t="shared" si="11"/>
        <v>15.305490553731516</v>
      </c>
      <c r="N64" s="155">
        <f t="shared" si="2"/>
        <v>15.305490553731516</v>
      </c>
      <c r="O64" s="156">
        <f t="shared" si="12"/>
        <v>0.26713120379550503</v>
      </c>
      <c r="P64" s="96">
        <f t="shared" si="13"/>
        <v>381.68336687119239</v>
      </c>
      <c r="Q64" s="96">
        <f t="shared" si="14"/>
        <v>280.11522986242221</v>
      </c>
      <c r="R64" s="96">
        <f t="shared" si="19"/>
        <v>57.860492172093082</v>
      </c>
      <c r="S64" s="97">
        <f t="shared" si="20"/>
        <v>-10.488351168702691</v>
      </c>
      <c r="T64" s="98">
        <f t="shared" si="15"/>
        <v>-21.683366871192391</v>
      </c>
      <c r="U64" s="99">
        <f t="shared" si="16"/>
        <v>79.884770137577789</v>
      </c>
      <c r="V64" s="100">
        <f t="shared" si="17"/>
        <v>-57.860492172093082</v>
      </c>
      <c r="W64" s="100">
        <f t="shared" si="18"/>
        <v>10.488351168702691</v>
      </c>
      <c r="X64" s="100"/>
      <c r="Y64" s="147"/>
    </row>
    <row r="65" spans="13:25" ht="1" customHeight="1">
      <c r="M65" s="154">
        <f t="shared" si="11"/>
        <v>14.701513014570512</v>
      </c>
      <c r="N65" s="155">
        <f t="shared" si="2"/>
        <v>14.701513014570512</v>
      </c>
      <c r="O65" s="156">
        <f t="shared" si="12"/>
        <v>0.25658980712905255</v>
      </c>
      <c r="P65" s="96">
        <f t="shared" si="13"/>
        <v>381.86080946176088</v>
      </c>
      <c r="Q65" s="96">
        <f t="shared" si="14"/>
        <v>279.93778727185372</v>
      </c>
      <c r="R65" s="96">
        <f t="shared" si="19"/>
        <v>58.161591954391767</v>
      </c>
      <c r="S65" s="97">
        <f t="shared" si="20"/>
        <v>-10.789450951001374</v>
      </c>
      <c r="T65" s="98">
        <f t="shared" si="15"/>
        <v>-21.86080946176088</v>
      </c>
      <c r="U65" s="99">
        <f t="shared" si="16"/>
        <v>80.062212728146278</v>
      </c>
      <c r="V65" s="100">
        <f t="shared" si="17"/>
        <v>-58.161591954391767</v>
      </c>
      <c r="W65" s="100">
        <f t="shared" si="18"/>
        <v>10.789450951001374</v>
      </c>
      <c r="X65" s="100"/>
      <c r="Y65" s="147"/>
    </row>
    <row r="66" spans="13:25" ht="1" customHeight="1">
      <c r="M66" s="154">
        <f t="shared" si="11"/>
        <v>14.097535475409508</v>
      </c>
      <c r="N66" s="155">
        <f t="shared" si="2"/>
        <v>14.097535475409508</v>
      </c>
      <c r="O66" s="156">
        <f t="shared" si="12"/>
        <v>0.24604841046260001</v>
      </c>
      <c r="P66" s="96">
        <f t="shared" si="13"/>
        <v>382.0318219055298</v>
      </c>
      <c r="Q66" s="96">
        <f t="shared" si="14"/>
        <v>279.76677482808481</v>
      </c>
      <c r="R66" s="96">
        <f t="shared" si="19"/>
        <v>58.44975822211984</v>
      </c>
      <c r="S66" s="97">
        <f t="shared" si="20"/>
        <v>-11.077617218729445</v>
      </c>
      <c r="T66" s="98">
        <f t="shared" si="15"/>
        <v>-22.031821905529796</v>
      </c>
      <c r="U66" s="99">
        <f t="shared" si="16"/>
        <v>80.233225171915194</v>
      </c>
      <c r="V66" s="100">
        <f t="shared" si="17"/>
        <v>-58.44975822211984</v>
      </c>
      <c r="W66" s="100">
        <f t="shared" si="18"/>
        <v>11.077617218729445</v>
      </c>
      <c r="X66" s="100"/>
      <c r="Y66" s="147"/>
    </row>
    <row r="67" spans="13:25" ht="1" customHeight="1">
      <c r="M67" s="154">
        <f t="shared" si="11"/>
        <v>13.493557936248504</v>
      </c>
      <c r="N67" s="155">
        <f t="shared" si="2"/>
        <v>13.493557936248504</v>
      </c>
      <c r="O67" s="156">
        <f t="shared" si="12"/>
        <v>0.2355070137961475</v>
      </c>
      <c r="P67" s="96">
        <f t="shared" si="13"/>
        <v>382.1965381284582</v>
      </c>
      <c r="Q67" s="96">
        <f t="shared" si="14"/>
        <v>279.6020586051564</v>
      </c>
      <c r="R67" s="96">
        <f t="shared" si="19"/>
        <v>58.72542656420724</v>
      </c>
      <c r="S67" s="97">
        <f t="shared" si="20"/>
        <v>-11.353285560816838</v>
      </c>
      <c r="T67" s="98">
        <f t="shared" si="15"/>
        <v>-22.196538128458201</v>
      </c>
      <c r="U67" s="99">
        <f t="shared" si="16"/>
        <v>80.397941394843599</v>
      </c>
      <c r="V67" s="100">
        <f t="shared" si="17"/>
        <v>-58.72542656420724</v>
      </c>
      <c r="W67" s="100">
        <f t="shared" si="18"/>
        <v>11.353285560816838</v>
      </c>
      <c r="X67" s="100"/>
      <c r="Y67" s="147"/>
    </row>
    <row r="68" spans="13:25" ht="1" customHeight="1">
      <c r="M68" s="154">
        <f t="shared" si="11"/>
        <v>12.889580397087499</v>
      </c>
      <c r="N68" s="155">
        <f t="shared" si="2"/>
        <v>12.889580397087499</v>
      </c>
      <c r="O68" s="156">
        <f t="shared" si="12"/>
        <v>0.22496561712969498</v>
      </c>
      <c r="P68" s="96">
        <f t="shared" si="13"/>
        <v>382.35508475880556</v>
      </c>
      <c r="Q68" s="96">
        <f t="shared" si="14"/>
        <v>279.44351197480904</v>
      </c>
      <c r="R68" s="96">
        <f t="shared" si="19"/>
        <v>58.988999885190665</v>
      </c>
      <c r="S68" s="97">
        <f t="shared" si="20"/>
        <v>-11.616858881800276</v>
      </c>
      <c r="T68" s="98">
        <f t="shared" si="15"/>
        <v>-22.35508475880556</v>
      </c>
      <c r="U68" s="99">
        <f t="shared" si="16"/>
        <v>80.556488025190959</v>
      </c>
      <c r="V68" s="100">
        <f t="shared" si="17"/>
        <v>-58.988999885190665</v>
      </c>
      <c r="W68" s="100">
        <f t="shared" si="18"/>
        <v>11.616858881800276</v>
      </c>
      <c r="X68" s="100"/>
      <c r="Y68" s="147"/>
    </row>
    <row r="69" spans="13:25" ht="1" customHeight="1">
      <c r="M69" s="154">
        <f t="shared" si="11"/>
        <v>12.285602857926495</v>
      </c>
      <c r="N69" s="155">
        <f t="shared" ref="N69:N132" si="21">N68-step</f>
        <v>12.285602857926495</v>
      </c>
      <c r="O69" s="156">
        <f t="shared" si="12"/>
        <v>0.21442422046324247</v>
      </c>
      <c r="P69" s="96">
        <f t="shared" si="13"/>
        <v>382.50758147694336</v>
      </c>
      <c r="Q69" s="96">
        <f t="shared" si="14"/>
        <v>279.29101525667124</v>
      </c>
      <c r="R69" s="96">
        <f t="shared" ref="R69:R100" si="22">IFERROR(DEGREES(grt_+ACOS((SIN(h_)-SIN(d_)*SIN(O69))/COS(d_)/COS(O69))),#N/A)</f>
        <v>59.240851198658781</v>
      </c>
      <c r="S69" s="97">
        <f t="shared" ref="S69:S100" si="23">IFERROR(DEGREES(grt_-ACOS((SIN(h_)-SIN(d_)*SIN(O69))/COS(d_)/COS(O69))),#N/A)</f>
        <v>-11.868710195268394</v>
      </c>
      <c r="T69" s="98">
        <f t="shared" si="15"/>
        <v>-22.507581476943358</v>
      </c>
      <c r="U69" s="99">
        <f t="shared" si="16"/>
        <v>80.708984743328756</v>
      </c>
      <c r="V69" s="100">
        <f t="shared" si="17"/>
        <v>-59.240851198658781</v>
      </c>
      <c r="W69" s="100">
        <f t="shared" si="18"/>
        <v>11.868710195268394</v>
      </c>
      <c r="X69" s="100"/>
      <c r="Y69" s="147"/>
    </row>
    <row r="70" spans="13:25" ht="1" customHeight="1">
      <c r="M70" s="154">
        <f t="shared" si="11"/>
        <v>11.681625318765491</v>
      </c>
      <c r="N70" s="155">
        <f t="shared" si="21"/>
        <v>11.681625318765491</v>
      </c>
      <c r="O70" s="156">
        <f t="shared" si="12"/>
        <v>0.20388282379678996</v>
      </c>
      <c r="P70" s="96">
        <f t="shared" si="13"/>
        <v>382.65414133867165</v>
      </c>
      <c r="Q70" s="96">
        <f t="shared" si="14"/>
        <v>279.14445539494301</v>
      </c>
      <c r="R70" s="96">
        <f t="shared" si="22"/>
        <v>59.481326092988049</v>
      </c>
      <c r="S70" s="97">
        <f t="shared" si="23"/>
        <v>-12.109185089597657</v>
      </c>
      <c r="T70" s="98">
        <f t="shared" si="15"/>
        <v>-22.65414133867165</v>
      </c>
      <c r="U70" s="99">
        <f t="shared" si="16"/>
        <v>80.855544605056991</v>
      </c>
      <c r="V70" s="100">
        <f t="shared" si="17"/>
        <v>-59.481326092988049</v>
      </c>
      <c r="W70" s="100">
        <f t="shared" si="18"/>
        <v>12.109185089597657</v>
      </c>
      <c r="X70" s="100"/>
      <c r="Y70" s="147"/>
    </row>
    <row r="71" spans="13:25" ht="1" customHeight="1">
      <c r="M71" s="154">
        <f t="shared" si="11"/>
        <v>11.077647779604487</v>
      </c>
      <c r="N71" s="155">
        <f t="shared" si="21"/>
        <v>11.077647779604487</v>
      </c>
      <c r="O71" s="156">
        <f t="shared" si="12"/>
        <v>0.19334142713033745</v>
      </c>
      <c r="P71" s="96">
        <f t="shared" si="13"/>
        <v>382.79487107413797</v>
      </c>
      <c r="Q71" s="96">
        <f t="shared" si="14"/>
        <v>279.00372565947669</v>
      </c>
      <c r="R71" s="96">
        <f t="shared" si="22"/>
        <v>59.710744914048853</v>
      </c>
      <c r="S71" s="97">
        <f t="shared" si="23"/>
        <v>-12.338603910658458</v>
      </c>
      <c r="T71" s="98">
        <f t="shared" si="15"/>
        <v>-22.794871074137973</v>
      </c>
      <c r="U71" s="99">
        <f t="shared" si="16"/>
        <v>80.996274340523314</v>
      </c>
      <c r="V71" s="100">
        <f t="shared" si="17"/>
        <v>-59.710744914048853</v>
      </c>
      <c r="W71" s="100">
        <f t="shared" si="18"/>
        <v>12.338603910658458</v>
      </c>
      <c r="X71" s="100"/>
      <c r="Y71" s="147"/>
    </row>
    <row r="72" spans="13:25" ht="1" customHeight="1">
      <c r="M72" s="154">
        <f t="shared" si="11"/>
        <v>10.473670240443482</v>
      </c>
      <c r="N72" s="155">
        <f t="shared" si="21"/>
        <v>10.473670240443482</v>
      </c>
      <c r="O72" s="156">
        <f t="shared" si="12"/>
        <v>0.18280003046388493</v>
      </c>
      <c r="P72" s="96">
        <f t="shared" si="13"/>
        <v>382.9298713642446</v>
      </c>
      <c r="Q72" s="96">
        <f t="shared" si="14"/>
        <v>278.86872536937</v>
      </c>
      <c r="R72" s="96">
        <f t="shared" si="22"/>
        <v>59.929404702394073</v>
      </c>
      <c r="S72" s="97">
        <f t="shared" si="23"/>
        <v>-12.557263699003688</v>
      </c>
      <c r="T72" s="98">
        <f t="shared" si="15"/>
        <v>-22.929871364244605</v>
      </c>
      <c r="U72" s="99">
        <f t="shared" si="16"/>
        <v>81.131274630630003</v>
      </c>
      <c r="V72" s="100">
        <f t="shared" si="17"/>
        <v>-59.929404702394073</v>
      </c>
      <c r="W72" s="100">
        <f t="shared" si="18"/>
        <v>12.557263699003688</v>
      </c>
      <c r="X72" s="100"/>
      <c r="Y72" s="147"/>
    </row>
    <row r="73" spans="13:25" ht="1" customHeight="1">
      <c r="M73" s="154">
        <f t="shared" si="11"/>
        <v>9.869692701282478</v>
      </c>
      <c r="N73" s="155">
        <f t="shared" si="21"/>
        <v>9.869692701282478</v>
      </c>
      <c r="O73" s="156">
        <f t="shared" si="12"/>
        <v>0.17225863379743242</v>
      </c>
      <c r="P73" s="96">
        <f t="shared" si="13"/>
        <v>383.05923709624375</v>
      </c>
      <c r="Q73" s="96">
        <f t="shared" si="14"/>
        <v>278.73935963737091</v>
      </c>
      <c r="R73" s="96">
        <f t="shared" si="22"/>
        <v>60.13758091656797</v>
      </c>
      <c r="S73" s="97">
        <f t="shared" si="23"/>
        <v>-12.765439913177573</v>
      </c>
      <c r="T73" s="98">
        <f t="shared" si="15"/>
        <v>-23.059237096243749</v>
      </c>
      <c r="U73" s="99">
        <f t="shared" si="16"/>
        <v>81.26064036262909</v>
      </c>
      <c r="V73" s="100">
        <f t="shared" si="17"/>
        <v>-60.13758091656797</v>
      </c>
      <c r="W73" s="100">
        <f t="shared" si="18"/>
        <v>12.765439913177573</v>
      </c>
      <c r="X73" s="100"/>
      <c r="Y73" s="147"/>
    </row>
    <row r="74" spans="13:25" ht="1" customHeight="1">
      <c r="M74" s="154">
        <f t="shared" si="11"/>
        <v>9.2657151621214737</v>
      </c>
      <c r="N74" s="155">
        <f t="shared" si="21"/>
        <v>9.2657151621214737</v>
      </c>
      <c r="O74" s="156">
        <f t="shared" si="12"/>
        <v>0.16171723713097991</v>
      </c>
      <c r="P74" s="96">
        <f t="shared" si="13"/>
        <v>383.18305760005109</v>
      </c>
      <c r="Q74" s="96">
        <f t="shared" si="14"/>
        <v>278.61553913356352</v>
      </c>
      <c r="R74" s="96">
        <f t="shared" si="22"/>
        <v>60.335528969327349</v>
      </c>
      <c r="S74" s="97">
        <f t="shared" si="23"/>
        <v>-12.963387965936954</v>
      </c>
      <c r="T74" s="98">
        <f t="shared" si="15"/>
        <v>-23.183057600051086</v>
      </c>
      <c r="U74" s="99">
        <f t="shared" si="16"/>
        <v>81.384460866436484</v>
      </c>
      <c r="V74" s="100">
        <f t="shared" si="17"/>
        <v>-60.335528969327349</v>
      </c>
      <c r="W74" s="100">
        <f t="shared" si="18"/>
        <v>12.963387965936954</v>
      </c>
      <c r="X74" s="100"/>
      <c r="Y74" s="147"/>
    </row>
    <row r="75" spans="13:25" ht="1" customHeight="1">
      <c r="M75" s="154">
        <f t="shared" si="11"/>
        <v>8.6617376229604695</v>
      </c>
      <c r="N75" s="155">
        <f t="shared" si="21"/>
        <v>8.6617376229604695</v>
      </c>
      <c r="O75" s="156">
        <f t="shared" si="12"/>
        <v>0.15117584046452739</v>
      </c>
      <c r="P75" s="96">
        <f t="shared" si="13"/>
        <v>383.30141686666042</v>
      </c>
      <c r="Q75" s="96">
        <f t="shared" si="14"/>
        <v>278.49717986695424</v>
      </c>
      <c r="R75" s="96">
        <f t="shared" si="22"/>
        <v>60.52348559955518</v>
      </c>
      <c r="S75" s="97">
        <f t="shared" si="23"/>
        <v>-13.151344596164797</v>
      </c>
      <c r="T75" s="98">
        <f t="shared" si="15"/>
        <v>-23.301416866660418</v>
      </c>
      <c r="U75" s="99">
        <f t="shared" si="16"/>
        <v>81.502820133045759</v>
      </c>
      <c r="V75" s="100">
        <f t="shared" si="17"/>
        <v>-60.52348559955518</v>
      </c>
      <c r="W75" s="100">
        <f t="shared" si="18"/>
        <v>13.151344596164797</v>
      </c>
      <c r="X75" s="100"/>
      <c r="Y75" s="147"/>
    </row>
    <row r="76" spans="13:25" ht="1" customHeight="1">
      <c r="M76" s="154">
        <f t="shared" si="11"/>
        <v>8.0577600837994652</v>
      </c>
      <c r="N76" s="155">
        <f t="shared" si="21"/>
        <v>8.0577600837994652</v>
      </c>
      <c r="O76" s="156">
        <f t="shared" si="12"/>
        <v>0.14063444379807485</v>
      </c>
      <c r="P76" s="96">
        <f t="shared" si="13"/>
        <v>383.41439374990489</v>
      </c>
      <c r="Q76" s="96">
        <f t="shared" si="14"/>
        <v>278.38420298370977</v>
      </c>
      <c r="R76" s="96">
        <f t="shared" si="22"/>
        <v>60.701670099301957</v>
      </c>
      <c r="S76" s="97">
        <f t="shared" si="23"/>
        <v>-13.329529095911559</v>
      </c>
      <c r="T76" s="98">
        <f t="shared" si="15"/>
        <v>-23.414393749904889</v>
      </c>
      <c r="U76" s="99">
        <f t="shared" si="16"/>
        <v>81.61579701629023</v>
      </c>
      <c r="V76" s="100">
        <f t="shared" si="17"/>
        <v>-60.701670099301957</v>
      </c>
      <c r="W76" s="100">
        <f t="shared" si="18"/>
        <v>13.329529095911559</v>
      </c>
      <c r="X76" s="100"/>
      <c r="Y76" s="147"/>
    </row>
    <row r="77" spans="13:25" ht="1" customHeight="1">
      <c r="M77" s="154">
        <f t="shared" si="11"/>
        <v>7.4537825446384618</v>
      </c>
      <c r="N77" s="155">
        <f t="shared" si="21"/>
        <v>7.4537825446384618</v>
      </c>
      <c r="O77" s="156">
        <f t="shared" si="12"/>
        <v>0.13009304713162237</v>
      </c>
      <c r="P77" s="96">
        <f t="shared" si="13"/>
        <v>383.52206215269234</v>
      </c>
      <c r="Q77" s="96">
        <f t="shared" si="14"/>
        <v>278.27653458092226</v>
      </c>
      <c r="R77" s="96">
        <f t="shared" si="22"/>
        <v>60.870285412593446</v>
      </c>
      <c r="S77" s="97">
        <f t="shared" si="23"/>
        <v>-13.49814440920305</v>
      </c>
      <c r="T77" s="98">
        <f t="shared" si="15"/>
        <v>-23.522062152692342</v>
      </c>
      <c r="U77" s="99">
        <f t="shared" si="16"/>
        <v>81.723465419077741</v>
      </c>
      <c r="V77" s="100">
        <f t="shared" si="17"/>
        <v>-60.870285412593446</v>
      </c>
      <c r="W77" s="100">
        <f t="shared" si="18"/>
        <v>13.49814440920305</v>
      </c>
      <c r="X77" s="100"/>
      <c r="Y77" s="147"/>
    </row>
    <row r="78" spans="13:25" ht="1" customHeight="1">
      <c r="M78" s="154">
        <f t="shared" si="11"/>
        <v>6.8498050054774584</v>
      </c>
      <c r="N78" s="155">
        <f t="shared" si="21"/>
        <v>6.8498050054774584</v>
      </c>
      <c r="O78" s="156">
        <f t="shared" si="12"/>
        <v>0.11955165046516987</v>
      </c>
      <c r="P78" s="96">
        <f t="shared" si="13"/>
        <v>383.62449119873042</v>
      </c>
      <c r="Q78" s="96">
        <f t="shared" si="14"/>
        <v>278.17410553488423</v>
      </c>
      <c r="R78" s="96">
        <f t="shared" si="22"/>
        <v>61.029519120292612</v>
      </c>
      <c r="S78" s="97">
        <f t="shared" si="23"/>
        <v>-13.657378116902221</v>
      </c>
      <c r="T78" s="98">
        <f t="shared" si="15"/>
        <v>-23.624491198730425</v>
      </c>
      <c r="U78" s="99">
        <f t="shared" si="16"/>
        <v>81.825894465115766</v>
      </c>
      <c r="V78" s="100">
        <f t="shared" si="17"/>
        <v>-61.029519120292612</v>
      </c>
      <c r="W78" s="100">
        <f t="shared" si="18"/>
        <v>13.657378116902221</v>
      </c>
      <c r="X78" s="100"/>
      <c r="Y78" s="147"/>
    </row>
    <row r="79" spans="13:25" ht="1" customHeight="1">
      <c r="M79" s="154">
        <f t="shared" si="11"/>
        <v>6.245827466316455</v>
      </c>
      <c r="N79" s="155">
        <f t="shared" si="21"/>
        <v>6.245827466316455</v>
      </c>
      <c r="O79" s="156">
        <f t="shared" si="12"/>
        <v>0.10901025379871737</v>
      </c>
      <c r="P79" s="96">
        <f t="shared" si="13"/>
        <v>383.72174539066083</v>
      </c>
      <c r="Q79" s="96">
        <f t="shared" si="14"/>
        <v>278.07685134295383</v>
      </c>
      <c r="R79" s="96">
        <f t="shared" si="22"/>
        <v>61.179544323315739</v>
      </c>
      <c r="S79" s="97">
        <f t="shared" si="23"/>
        <v>-13.80740331992534</v>
      </c>
      <c r="T79" s="98">
        <f t="shared" si="15"/>
        <v>-23.721745390660828</v>
      </c>
      <c r="U79" s="99">
        <f t="shared" si="16"/>
        <v>81.92314865704617</v>
      </c>
      <c r="V79" s="100">
        <f t="shared" si="17"/>
        <v>-61.179544323315739</v>
      </c>
      <c r="W79" s="100">
        <f t="shared" si="18"/>
        <v>13.80740331992534</v>
      </c>
      <c r="X79" s="100"/>
      <c r="Y79" s="147"/>
    </row>
    <row r="80" spans="13:25" ht="1" customHeight="1">
      <c r="M80" s="154">
        <f t="shared" si="11"/>
        <v>5.6418499271554516</v>
      </c>
      <c r="N80" s="155">
        <f t="shared" si="21"/>
        <v>5.6418499271554516</v>
      </c>
      <c r="O80" s="156">
        <f t="shared" si="12"/>
        <v>9.8468857132264873E-2</v>
      </c>
      <c r="P80" s="96">
        <f t="shared" si="13"/>
        <v>383.81388475543218</v>
      </c>
      <c r="Q80" s="96">
        <f t="shared" si="14"/>
        <v>277.98471197818242</v>
      </c>
      <c r="R80" s="96">
        <f t="shared" si="22"/>
        <v>61.320520434819223</v>
      </c>
      <c r="S80" s="97">
        <f t="shared" si="23"/>
        <v>-13.948379431428826</v>
      </c>
      <c r="T80" s="98">
        <f t="shared" si="15"/>
        <v>-23.813884755432184</v>
      </c>
      <c r="U80" s="99">
        <f t="shared" si="16"/>
        <v>82.015288021817582</v>
      </c>
      <c r="V80" s="100">
        <f t="shared" si="17"/>
        <v>-61.320520434819223</v>
      </c>
      <c r="W80" s="100">
        <f t="shared" si="18"/>
        <v>13.948379431428826</v>
      </c>
      <c r="X80" s="100"/>
      <c r="Y80" s="147"/>
    </row>
    <row r="81" spans="13:25" ht="1" customHeight="1">
      <c r="M81" s="154">
        <f t="shared" si="11"/>
        <v>5.0378723879944483</v>
      </c>
      <c r="N81" s="155">
        <f t="shared" si="21"/>
        <v>5.0378723879944483</v>
      </c>
      <c r="O81" s="156">
        <f t="shared" si="12"/>
        <v>8.7927460465812374E-2</v>
      </c>
      <c r="P81" s="96">
        <f t="shared" si="13"/>
        <v>383.90096497765887</v>
      </c>
      <c r="Q81" s="96">
        <f t="shared" si="14"/>
        <v>277.89763175595573</v>
      </c>
      <c r="R81" s="96">
        <f t="shared" si="22"/>
        <v>61.452593890537379</v>
      </c>
      <c r="S81" s="97">
        <f t="shared" si="23"/>
        <v>-14.080452887146986</v>
      </c>
      <c r="T81" s="98">
        <f t="shared" si="15"/>
        <v>-23.900964977658873</v>
      </c>
      <c r="U81" s="99">
        <f t="shared" si="16"/>
        <v>82.102368244044271</v>
      </c>
      <c r="V81" s="100">
        <f t="shared" si="17"/>
        <v>-61.452593890537379</v>
      </c>
      <c r="W81" s="100">
        <f t="shared" si="18"/>
        <v>14.080452887146986</v>
      </c>
      <c r="X81" s="100"/>
      <c r="Y81" s="147"/>
    </row>
    <row r="82" spans="13:25" ht="1" customHeight="1">
      <c r="M82" s="154">
        <f t="shared" si="11"/>
        <v>4.4338948488334449</v>
      </c>
      <c r="N82" s="155">
        <f t="shared" si="21"/>
        <v>4.4338948488334449</v>
      </c>
      <c r="O82" s="156">
        <f t="shared" si="12"/>
        <v>7.7386063799359875E-2</v>
      </c>
      <c r="P82" s="96">
        <f t="shared" si="13"/>
        <v>383.98303752164094</v>
      </c>
      <c r="Q82" s="96">
        <f t="shared" si="14"/>
        <v>277.81555921197366</v>
      </c>
      <c r="R82" s="96">
        <f t="shared" si="22"/>
        <v>61.575898785222556</v>
      </c>
      <c r="S82" s="97">
        <f t="shared" si="23"/>
        <v>-14.203757781832161</v>
      </c>
      <c r="T82" s="98">
        <f t="shared" si="15"/>
        <v>-23.983037521640938</v>
      </c>
      <c r="U82" s="99">
        <f t="shared" si="16"/>
        <v>82.184440788026336</v>
      </c>
      <c r="V82" s="100">
        <f t="shared" si="17"/>
        <v>-61.575898785222556</v>
      </c>
      <c r="W82" s="100">
        <f t="shared" si="18"/>
        <v>14.203757781832161</v>
      </c>
      <c r="X82" s="100"/>
      <c r="Y82" s="147"/>
    </row>
    <row r="83" spans="13:25" ht="1" customHeight="1">
      <c r="M83" s="154">
        <f t="shared" si="11"/>
        <v>3.829917309672441</v>
      </c>
      <c r="N83" s="155">
        <f t="shared" si="21"/>
        <v>3.829917309672441</v>
      </c>
      <c r="O83" s="156">
        <f t="shared" si="12"/>
        <v>6.6844667132907362E-2</v>
      </c>
      <c r="P83" s="96">
        <f t="shared" si="13"/>
        <v>384.06014974265167</v>
      </c>
      <c r="Q83" s="96">
        <f t="shared" si="14"/>
        <v>277.73844699096298</v>
      </c>
      <c r="R83" s="96">
        <f t="shared" si="22"/>
        <v>61.690557442082287</v>
      </c>
      <c r="S83" s="97">
        <f t="shared" si="23"/>
        <v>-14.318416438691887</v>
      </c>
      <c r="T83" s="98">
        <f t="shared" si="15"/>
        <v>-24.060149742651674</v>
      </c>
      <c r="U83" s="99">
        <f t="shared" si="16"/>
        <v>82.261553009037016</v>
      </c>
      <c r="V83" s="100">
        <f t="shared" si="17"/>
        <v>-61.690557442082287</v>
      </c>
      <c r="W83" s="100">
        <f t="shared" si="18"/>
        <v>14.318416438691887</v>
      </c>
      <c r="X83" s="100"/>
      <c r="Y83" s="147"/>
    </row>
    <row r="84" spans="13:25" ht="1" customHeight="1">
      <c r="M84" s="154">
        <f t="shared" si="11"/>
        <v>3.2259397705114372</v>
      </c>
      <c r="N84" s="155">
        <f t="shared" si="21"/>
        <v>3.2259397705114372</v>
      </c>
      <c r="O84" s="156">
        <f t="shared" si="12"/>
        <v>5.6303270466454856E-2</v>
      </c>
      <c r="P84" s="96">
        <f t="shared" si="13"/>
        <v>384.13234498803757</v>
      </c>
      <c r="Q84" s="96">
        <f t="shared" si="14"/>
        <v>277.66625174557709</v>
      </c>
      <c r="R84" s="96">
        <f t="shared" si="22"/>
        <v>61.796680921195957</v>
      </c>
      <c r="S84" s="97">
        <f t="shared" si="23"/>
        <v>-14.424539917805575</v>
      </c>
      <c r="T84" s="98">
        <f t="shared" si="15"/>
        <v>-24.132344988037573</v>
      </c>
      <c r="U84" s="99">
        <f t="shared" si="16"/>
        <v>82.333748254422915</v>
      </c>
      <c r="V84" s="100">
        <f t="shared" si="17"/>
        <v>-61.796680921195957</v>
      </c>
      <c r="W84" s="100">
        <f t="shared" si="18"/>
        <v>14.424539917805575</v>
      </c>
      <c r="X84" s="100"/>
      <c r="Y84" s="147"/>
    </row>
    <row r="85" spans="13:25" ht="1" customHeight="1">
      <c r="M85" s="154">
        <f t="shared" si="11"/>
        <v>2.6219622313504334</v>
      </c>
      <c r="N85" s="155">
        <f t="shared" si="21"/>
        <v>2.6219622313504334</v>
      </c>
      <c r="O85" s="156">
        <f t="shared" si="12"/>
        <v>4.5761873800002351E-2</v>
      </c>
      <c r="P85" s="96">
        <f t="shared" si="13"/>
        <v>384.19966268861862</v>
      </c>
      <c r="Q85" s="96">
        <f t="shared" si="14"/>
        <v>277.59893404499599</v>
      </c>
      <c r="R85" s="96">
        <f t="shared" si="22"/>
        <v>61.894369472100585</v>
      </c>
      <c r="S85" s="97">
        <f t="shared" si="23"/>
        <v>-14.522228468710187</v>
      </c>
      <c r="T85" s="98">
        <f t="shared" si="15"/>
        <v>-24.199662688618616</v>
      </c>
      <c r="U85" s="99">
        <f t="shared" si="16"/>
        <v>82.401065955004015</v>
      </c>
      <c r="V85" s="100">
        <f t="shared" si="17"/>
        <v>-61.894369472100585</v>
      </c>
      <c r="W85" s="100">
        <f t="shared" si="18"/>
        <v>14.522228468710187</v>
      </c>
      <c r="X85" s="100"/>
      <c r="Y85" s="147"/>
    </row>
    <row r="86" spans="13:25" ht="1" customHeight="1">
      <c r="M86" s="154">
        <f t="shared" si="11"/>
        <v>2.0179846921894296</v>
      </c>
      <c r="N86" s="155">
        <f t="shared" si="21"/>
        <v>2.0179846921894296</v>
      </c>
      <c r="O86" s="156">
        <f t="shared" si="12"/>
        <v>3.5220477133549845E-2</v>
      </c>
      <c r="P86" s="96">
        <f t="shared" si="13"/>
        <v>384.26213844082423</v>
      </c>
      <c r="Q86" s="96">
        <f t="shared" si="14"/>
        <v>277.53645829279037</v>
      </c>
      <c r="R86" s="96">
        <f t="shared" si="22"/>
        <v>61.983712935043776</v>
      </c>
      <c r="S86" s="97">
        <f t="shared" si="23"/>
        <v>-14.61157193165338</v>
      </c>
      <c r="T86" s="98">
        <f t="shared" si="15"/>
        <v>-24.262138440824231</v>
      </c>
      <c r="U86" s="99">
        <f t="shared" si="16"/>
        <v>82.463541707209629</v>
      </c>
      <c r="V86" s="100">
        <f t="shared" si="17"/>
        <v>-61.983712935043776</v>
      </c>
      <c r="W86" s="100">
        <f t="shared" si="18"/>
        <v>14.61157193165338</v>
      </c>
      <c r="X86" s="100"/>
      <c r="Y86" s="147"/>
    </row>
    <row r="87" spans="13:25" ht="1" customHeight="1">
      <c r="M87" s="154">
        <f t="shared" si="11"/>
        <v>1.4140071530284257</v>
      </c>
      <c r="N87" s="155">
        <f t="shared" si="21"/>
        <v>1.4140071530284257</v>
      </c>
      <c r="O87" s="156">
        <f t="shared" si="12"/>
        <v>2.4679080467097339E-2</v>
      </c>
      <c r="P87" s="96">
        <f t="shared" si="13"/>
        <v>384.31980407995053</v>
      </c>
      <c r="Q87" s="96">
        <f t="shared" si="14"/>
        <v>277.47879265366407</v>
      </c>
      <c r="R87" s="96">
        <f t="shared" si="22"/>
        <v>62.064791094796476</v>
      </c>
      <c r="S87" s="97">
        <f t="shared" si="23"/>
        <v>-14.69265009140608</v>
      </c>
      <c r="T87" s="98">
        <f t="shared" si="15"/>
        <v>-24.319804079950529</v>
      </c>
      <c r="U87" s="99">
        <f t="shared" si="16"/>
        <v>82.521207346335927</v>
      </c>
      <c r="V87" s="100">
        <f t="shared" si="17"/>
        <v>-62.064791094796476</v>
      </c>
      <c r="W87" s="100">
        <f t="shared" si="18"/>
        <v>14.69265009140608</v>
      </c>
      <c r="X87" s="100"/>
      <c r="Y87" s="147"/>
    </row>
    <row r="88" spans="13:25" ht="1" customHeight="1">
      <c r="M88" s="154">
        <f t="shared" si="11"/>
        <v>0.810029613867422</v>
      </c>
      <c r="N88" s="155">
        <f t="shared" si="21"/>
        <v>0.810029613867422</v>
      </c>
      <c r="O88" s="156">
        <f t="shared" si="12"/>
        <v>1.4137683800644833E-2</v>
      </c>
      <c r="P88" s="96">
        <f t="shared" si="13"/>
        <v>384.37268774488064</v>
      </c>
      <c r="Q88" s="96">
        <f t="shared" si="14"/>
        <v>277.42590898873397</v>
      </c>
      <c r="R88" s="96">
        <f t="shared" si="22"/>
        <v>62.137673990381074</v>
      </c>
      <c r="S88" s="97">
        <f t="shared" si="23"/>
        <v>-14.765532986990678</v>
      </c>
      <c r="T88" s="98">
        <f t="shared" si="15"/>
        <v>-24.372687744880636</v>
      </c>
      <c r="U88" s="99">
        <f t="shared" si="16"/>
        <v>82.574091011266034</v>
      </c>
      <c r="V88" s="100">
        <f t="shared" si="17"/>
        <v>-62.137673990381074</v>
      </c>
      <c r="W88" s="100">
        <f t="shared" si="18"/>
        <v>14.765532986990678</v>
      </c>
      <c r="X88" s="100"/>
      <c r="Y88" s="147"/>
    </row>
    <row r="89" spans="13:25" ht="1" customHeight="1">
      <c r="M89" s="154">
        <f t="shared" si="11"/>
        <v>0.20605207470641829</v>
      </c>
      <c r="N89" s="155">
        <f t="shared" si="21"/>
        <v>0.20605207470641829</v>
      </c>
      <c r="O89" s="156">
        <f t="shared" si="12"/>
        <v>3.5962871341923275E-3</v>
      </c>
      <c r="P89" s="96">
        <f t="shared" si="13"/>
        <v>384.42081393456488</v>
      </c>
      <c r="Q89" s="96">
        <f t="shared" si="14"/>
        <v>277.37778279904978</v>
      </c>
      <c r="R89" s="96">
        <f t="shared" si="22"/>
        <v>62.202422183596255</v>
      </c>
      <c r="S89" s="97">
        <f t="shared" si="23"/>
        <v>-14.830281180205869</v>
      </c>
      <c r="T89" s="98">
        <f t="shared" si="15"/>
        <v>-24.420813934564876</v>
      </c>
      <c r="U89" s="99">
        <f t="shared" si="16"/>
        <v>82.622217200950217</v>
      </c>
      <c r="V89" s="100">
        <f t="shared" si="17"/>
        <v>-62.202422183596255</v>
      </c>
      <c r="W89" s="100">
        <f t="shared" si="18"/>
        <v>14.830281180205869</v>
      </c>
      <c r="X89" s="100"/>
      <c r="Y89" s="147"/>
    </row>
    <row r="90" spans="13:25" ht="1" customHeight="1">
      <c r="M90" s="154">
        <f t="shared" si="11"/>
        <v>-0.39792546445458543</v>
      </c>
      <c r="N90" s="155">
        <f t="shared" si="21"/>
        <v>-0.39792546445458543</v>
      </c>
      <c r="O90" s="156">
        <f t="shared" si="12"/>
        <v>-6.9451095322601774E-3</v>
      </c>
      <c r="P90" s="96">
        <f t="shared" si="13"/>
        <v>384.46420355652026</v>
      </c>
      <c r="Q90" s="96">
        <f t="shared" si="14"/>
        <v>277.33439317709434</v>
      </c>
      <c r="R90" s="96">
        <f t="shared" si="22"/>
        <v>62.259086988793172</v>
      </c>
      <c r="S90" s="97">
        <f t="shared" si="23"/>
        <v>-14.886945985402775</v>
      </c>
      <c r="T90" s="98">
        <f t="shared" si="15"/>
        <v>-24.46420355652026</v>
      </c>
      <c r="U90" s="99">
        <f t="shared" si="16"/>
        <v>82.665606822905659</v>
      </c>
      <c r="V90" s="100">
        <f t="shared" si="17"/>
        <v>-62.259086988793172</v>
      </c>
      <c r="W90" s="100">
        <f t="shared" si="18"/>
        <v>14.886945985402775</v>
      </c>
      <c r="X90" s="100"/>
      <c r="Y90" s="147"/>
    </row>
    <row r="91" spans="13:25" ht="1" customHeight="1">
      <c r="M91" s="154">
        <f t="shared" si="11"/>
        <v>-1.0019030036155891</v>
      </c>
      <c r="N91" s="155">
        <f t="shared" si="21"/>
        <v>-1.0019030036155891</v>
      </c>
      <c r="O91" s="156">
        <f t="shared" si="12"/>
        <v>-1.7486506198712684E-2</v>
      </c>
      <c r="P91" s="96">
        <f t="shared" si="13"/>
        <v>384.50287396756772</v>
      </c>
      <c r="Q91" s="96">
        <f t="shared" si="14"/>
        <v>277.29572276604694</v>
      </c>
      <c r="R91" s="96">
        <f t="shared" si="22"/>
        <v>62.307710665973694</v>
      </c>
      <c r="S91" s="97">
        <f t="shared" si="23"/>
        <v>-14.935569662583301</v>
      </c>
      <c r="T91" s="98">
        <f t="shared" si="15"/>
        <v>-24.502873967567723</v>
      </c>
      <c r="U91" s="99">
        <f t="shared" si="16"/>
        <v>82.704277233953064</v>
      </c>
      <c r="V91" s="100">
        <f t="shared" si="17"/>
        <v>-62.307710665973694</v>
      </c>
      <c r="W91" s="100">
        <f t="shared" si="18"/>
        <v>14.935569662583301</v>
      </c>
      <c r="X91" s="100"/>
      <c r="Y91" s="147"/>
    </row>
    <row r="92" spans="13:25" ht="1" customHeight="1">
      <c r="M92" s="154">
        <f t="shared" si="11"/>
        <v>-1.605880542776593</v>
      </c>
      <c r="N92" s="155">
        <f t="shared" si="21"/>
        <v>-1.605880542776593</v>
      </c>
      <c r="O92" s="156">
        <f t="shared" si="12"/>
        <v>-2.802790286516519E-2</v>
      </c>
      <c r="P92" s="96">
        <f t="shared" si="13"/>
        <v>384.53683900699156</v>
      </c>
      <c r="Q92" s="96">
        <f t="shared" si="14"/>
        <v>277.26175772662305</v>
      </c>
      <c r="R92" s="96">
        <f t="shared" si="22"/>
        <v>62.348326578932081</v>
      </c>
      <c r="S92" s="97">
        <f t="shared" si="23"/>
        <v>-14.976185575541688</v>
      </c>
      <c r="T92" s="98">
        <f t="shared" si="15"/>
        <v>-24.536839006991556</v>
      </c>
      <c r="U92" s="99">
        <f t="shared" si="16"/>
        <v>82.738242273376954</v>
      </c>
      <c r="V92" s="100">
        <f t="shared" si="17"/>
        <v>-62.348326578932081</v>
      </c>
      <c r="W92" s="100">
        <f t="shared" si="18"/>
        <v>14.976185575541688</v>
      </c>
      <c r="X92" s="100"/>
      <c r="Y92" s="147"/>
    </row>
    <row r="93" spans="13:25" ht="1" customHeight="1">
      <c r="M93" s="154">
        <f t="shared" si="11"/>
        <v>-2.2098580819375968</v>
      </c>
      <c r="N93" s="155">
        <f t="shared" si="21"/>
        <v>-2.2098580819375968</v>
      </c>
      <c r="O93" s="156">
        <f t="shared" si="12"/>
        <v>-3.8569299531617696E-2</v>
      </c>
      <c r="P93" s="96">
        <f t="shared" si="13"/>
        <v>384.56610902226981</v>
      </c>
      <c r="Q93" s="96">
        <f t="shared" si="14"/>
        <v>277.23248771134485</v>
      </c>
      <c r="R93" s="96">
        <f t="shared" si="22"/>
        <v>62.380959319839036</v>
      </c>
      <c r="S93" s="97">
        <f t="shared" si="23"/>
        <v>-15.008818316448636</v>
      </c>
      <c r="T93" s="98">
        <f t="shared" si="15"/>
        <v>-24.566109022269814</v>
      </c>
      <c r="U93" s="99">
        <f t="shared" si="16"/>
        <v>82.767512288655155</v>
      </c>
      <c r="V93" s="100">
        <f t="shared" si="17"/>
        <v>-62.380959319839036</v>
      </c>
      <c r="W93" s="100">
        <f t="shared" si="18"/>
        <v>15.008818316448636</v>
      </c>
      <c r="X93" s="100"/>
      <c r="Y93" s="147"/>
    </row>
    <row r="94" spans="13:25" ht="1" customHeight="1">
      <c r="M94" s="154">
        <f t="shared" ref="M94:M109" si="24">IF(N94&gt;maxn,maxn,IF(N94&lt;mins,mins,N94))</f>
        <v>-2.8138356210986006</v>
      </c>
      <c r="N94" s="155">
        <f t="shared" si="21"/>
        <v>-2.8138356210986006</v>
      </c>
      <c r="O94" s="156">
        <f t="shared" ref="O94:O109" si="25">RADIANS(M94)</f>
        <v>-4.9110696198070201E-2</v>
      </c>
      <c r="P94" s="96">
        <f t="shared" ref="P94:P109" si="26">IFERROR(DEGREES(grt+ACOS((SIN(h)-SIN(d)*SIN(O94))/COS(d)/COS(O94))),#N/A)</f>
        <v>384.59069088749141</v>
      </c>
      <c r="Q94" s="96">
        <f t="shared" ref="Q94:Q109" si="27">IFERROR(DEGREES(grt-ACOS((SIN(h)-SIN(d)*SIN(O94))/COS(d)/COS(O94))),#N/A)</f>
        <v>277.2079058461232</v>
      </c>
      <c r="R94" s="96">
        <f t="shared" si="22"/>
        <v>62.405624801368766</v>
      </c>
      <c r="S94" s="97">
        <f t="shared" si="23"/>
        <v>-15.033483797978372</v>
      </c>
      <c r="T94" s="98">
        <f t="shared" ref="T94:T109" si="28">IF(P94&lt;0,ABS(P94),IF(P94&gt;360,-(P94-360),IF(AND(P94&gt;180,P94&lt;360),ABS(360-P94),-P94)))</f>
        <v>-24.590690887491405</v>
      </c>
      <c r="U94" s="99">
        <f t="shared" ref="U94:U109" si="29">IF(Q94&lt;0,ABS(Q94),IF(Q94&gt;360,Q94-(Q94-360),IF(AND(Q94&gt;180,Q94&lt;360),ABS(360-Q94),-Q94)))</f>
        <v>82.792094153876803</v>
      </c>
      <c r="V94" s="100">
        <f t="shared" ref="V94:V109" si="30">IF(R94&lt;0,ABS(R94),IF(R94&gt;360,-(R94-360),IF(AND(R94&gt;180,R94&lt;360),ABS(360-R94),-R94)))</f>
        <v>-62.405624801368766</v>
      </c>
      <c r="W94" s="100">
        <f t="shared" ref="W94:W109" si="31">IF(S94&lt;0,ABS(S94),IF(S94&gt;360,-(S94-360),IF(AND(S94&gt;180,S94&lt;360),ABS(360-S94),-S94)))</f>
        <v>15.033483797978372</v>
      </c>
      <c r="X94" s="100"/>
      <c r="Y94" s="147"/>
    </row>
    <row r="95" spans="13:25" ht="1" customHeight="1">
      <c r="M95" s="154">
        <f t="shared" si="24"/>
        <v>-3.4178131602596045</v>
      </c>
      <c r="N95" s="155">
        <f t="shared" si="21"/>
        <v>-3.4178131602596045</v>
      </c>
      <c r="O95" s="156">
        <f t="shared" si="25"/>
        <v>-5.9652092864522707E-2</v>
      </c>
      <c r="P95" s="96">
        <f t="shared" si="26"/>
        <v>384.61058801454271</v>
      </c>
      <c r="Q95" s="96">
        <f t="shared" si="27"/>
        <v>277.18800871907195</v>
      </c>
      <c r="R95" s="96">
        <f t="shared" si="22"/>
        <v>62.422330317187658</v>
      </c>
      <c r="S95" s="97">
        <f t="shared" si="23"/>
        <v>-15.050189313797267</v>
      </c>
      <c r="T95" s="98">
        <f t="shared" si="28"/>
        <v>-24.610588014542714</v>
      </c>
      <c r="U95" s="99">
        <f t="shared" si="29"/>
        <v>82.811991280928055</v>
      </c>
      <c r="V95" s="100">
        <f t="shared" si="30"/>
        <v>-62.422330317187658</v>
      </c>
      <c r="W95" s="100">
        <f t="shared" si="31"/>
        <v>15.050189313797267</v>
      </c>
      <c r="X95" s="100"/>
      <c r="Y95" s="147"/>
    </row>
    <row r="96" spans="13:25" ht="1" customHeight="1">
      <c r="M96" s="154">
        <f t="shared" si="24"/>
        <v>-4.0217906994206079</v>
      </c>
      <c r="N96" s="155">
        <f t="shared" si="21"/>
        <v>-4.0217906994206079</v>
      </c>
      <c r="O96" s="156">
        <f t="shared" si="25"/>
        <v>-7.0193489530975206E-2</v>
      </c>
      <c r="P96" s="96">
        <f t="shared" si="26"/>
        <v>384.62580035711426</v>
      </c>
      <c r="Q96" s="96">
        <f t="shared" si="27"/>
        <v>277.1727963765004</v>
      </c>
      <c r="R96" s="96">
        <f t="shared" si="22"/>
        <v>62.431074571354685</v>
      </c>
      <c r="S96" s="97">
        <f t="shared" si="23"/>
        <v>-15.058933567964292</v>
      </c>
      <c r="T96" s="98">
        <f t="shared" si="28"/>
        <v>-24.625800357114258</v>
      </c>
      <c r="U96" s="99">
        <f t="shared" si="29"/>
        <v>82.827203623499599</v>
      </c>
      <c r="V96" s="100">
        <f t="shared" si="30"/>
        <v>-62.431074571354685</v>
      </c>
      <c r="W96" s="100">
        <f t="shared" si="31"/>
        <v>15.058933567964292</v>
      </c>
      <c r="X96" s="100"/>
      <c r="Y96" s="147"/>
    </row>
    <row r="97" spans="13:25" ht="1" customHeight="1">
      <c r="M97" s="154">
        <f t="shared" si="24"/>
        <v>-4.6257682385816112</v>
      </c>
      <c r="N97" s="155">
        <f t="shared" si="21"/>
        <v>-4.6257682385816112</v>
      </c>
      <c r="O97" s="156">
        <f t="shared" si="25"/>
        <v>-8.0734886197427705E-2</v>
      </c>
      <c r="P97" s="96">
        <f t="shared" si="26"/>
        <v>384.63632440754822</v>
      </c>
      <c r="Q97" s="96">
        <f t="shared" si="27"/>
        <v>277.16227232606644</v>
      </c>
      <c r="R97" s="96">
        <f t="shared" si="22"/>
        <v>62.431847676924562</v>
      </c>
      <c r="S97" s="97">
        <f t="shared" si="23"/>
        <v>-15.059706673534169</v>
      </c>
      <c r="T97" s="98">
        <f t="shared" si="28"/>
        <v>-24.636324407548216</v>
      </c>
      <c r="U97" s="99">
        <f t="shared" si="29"/>
        <v>82.837727673933557</v>
      </c>
      <c r="V97" s="100">
        <f t="shared" si="30"/>
        <v>-62.431847676924562</v>
      </c>
      <c r="W97" s="100">
        <f t="shared" si="31"/>
        <v>15.059706673534169</v>
      </c>
      <c r="X97" s="100"/>
      <c r="Y97" s="147"/>
    </row>
    <row r="98" spans="13:25" ht="1" customHeight="1">
      <c r="M98" s="154">
        <f t="shared" si="24"/>
        <v>-5.2297457777426146</v>
      </c>
      <c r="N98" s="155">
        <f t="shared" si="21"/>
        <v>-5.2297457777426146</v>
      </c>
      <c r="O98" s="156">
        <f t="shared" si="25"/>
        <v>-9.1276282863880204E-2</v>
      </c>
      <c r="P98" s="96">
        <f t="shared" si="26"/>
        <v>384.64215318651435</v>
      </c>
      <c r="Q98" s="96">
        <f t="shared" si="27"/>
        <v>277.15644354710031</v>
      </c>
      <c r="R98" s="96">
        <f t="shared" si="22"/>
        <v>62.424631123789048</v>
      </c>
      <c r="S98" s="97">
        <f t="shared" si="23"/>
        <v>-15.052490120398655</v>
      </c>
      <c r="T98" s="98">
        <f t="shared" si="28"/>
        <v>-24.642153186514349</v>
      </c>
      <c r="U98" s="99">
        <f t="shared" si="29"/>
        <v>82.843556452899691</v>
      </c>
      <c r="V98" s="100">
        <f t="shared" si="30"/>
        <v>-62.424631123789048</v>
      </c>
      <c r="W98" s="100">
        <f t="shared" si="31"/>
        <v>15.052490120398655</v>
      </c>
      <c r="X98" s="100"/>
      <c r="Y98" s="147"/>
    </row>
    <row r="99" spans="13:25" ht="1" customHeight="1">
      <c r="M99" s="154">
        <f t="shared" si="24"/>
        <v>-5.833723316903618</v>
      </c>
      <c r="N99" s="155">
        <f t="shared" si="21"/>
        <v>-5.833723316903618</v>
      </c>
      <c r="O99" s="156">
        <f t="shared" si="25"/>
        <v>-0.1018176795303327</v>
      </c>
      <c r="P99" s="96">
        <f t="shared" si="26"/>
        <v>384.64327622547154</v>
      </c>
      <c r="Q99" s="96">
        <f t="shared" si="27"/>
        <v>277.15532050814312</v>
      </c>
      <c r="R99" s="96">
        <f t="shared" si="22"/>
        <v>62.409397715538717</v>
      </c>
      <c r="S99" s="97">
        <f t="shared" si="23"/>
        <v>-15.037256712148318</v>
      </c>
      <c r="T99" s="98">
        <f t="shared" si="28"/>
        <v>-24.643276225471539</v>
      </c>
      <c r="U99" s="99">
        <f t="shared" si="29"/>
        <v>82.84467949185688</v>
      </c>
      <c r="V99" s="100">
        <f t="shared" si="30"/>
        <v>-62.409397715538717</v>
      </c>
      <c r="W99" s="100">
        <f t="shared" si="31"/>
        <v>15.037256712148318</v>
      </c>
      <c r="X99" s="100"/>
      <c r="Y99" s="147"/>
    </row>
    <row r="100" spans="13:25" ht="1" customHeight="1">
      <c r="M100" s="154">
        <f t="shared" si="24"/>
        <v>-6.4377008560646214</v>
      </c>
      <c r="N100" s="155">
        <f t="shared" si="21"/>
        <v>-6.4377008560646214</v>
      </c>
      <c r="O100" s="156">
        <f t="shared" si="25"/>
        <v>-0.1123590761967852</v>
      </c>
      <c r="P100" s="96">
        <f t="shared" si="26"/>
        <v>384.63967954184102</v>
      </c>
      <c r="Q100" s="96">
        <f t="shared" si="27"/>
        <v>277.15891719177358</v>
      </c>
      <c r="R100" s="96">
        <f t="shared" si="22"/>
        <v>62.386111474870177</v>
      </c>
      <c r="S100" s="97">
        <f t="shared" si="23"/>
        <v>-15.013970471479777</v>
      </c>
      <c r="T100" s="98">
        <f t="shared" si="28"/>
        <v>-24.639679541841019</v>
      </c>
      <c r="U100" s="99">
        <f t="shared" si="29"/>
        <v>82.841082808226417</v>
      </c>
      <c r="V100" s="100">
        <f t="shared" si="30"/>
        <v>-62.386111474870177</v>
      </c>
      <c r="W100" s="100">
        <f t="shared" si="31"/>
        <v>15.013970471479777</v>
      </c>
      <c r="X100" s="100"/>
      <c r="Y100" s="147"/>
    </row>
    <row r="101" spans="13:25" ht="1" customHeight="1">
      <c r="M101" s="154">
        <f t="shared" si="24"/>
        <v>-7.0416783952256248</v>
      </c>
      <c r="N101" s="155">
        <f t="shared" si="21"/>
        <v>-7.0416783952256248</v>
      </c>
      <c r="O101" s="156">
        <f t="shared" si="25"/>
        <v>-0.1229004728632377</v>
      </c>
      <c r="P101" s="96">
        <f t="shared" si="26"/>
        <v>384.63134560678424</v>
      </c>
      <c r="Q101" s="96">
        <f t="shared" si="27"/>
        <v>277.16725112683042</v>
      </c>
      <c r="R101" s="96">
        <f t="shared" ref="R101:R132" si="32">IFERROR(DEGREES(grt_+ACOS((SIN(h_)-SIN(d_)*SIN(O101))/COS(d_)/COS(O101))),#N/A)</f>
        <v>62.3547275168007</v>
      </c>
      <c r="S101" s="97">
        <f t="shared" ref="S101:S132" si="33">IFERROR(DEGREES(grt_-ACOS((SIN(h_)-SIN(d_)*SIN(O101))/COS(d_)/COS(O101))),#N/A)</f>
        <v>-14.982586513410302</v>
      </c>
      <c r="T101" s="98">
        <f t="shared" si="28"/>
        <v>-24.631345606784237</v>
      </c>
      <c r="U101" s="99">
        <f t="shared" si="29"/>
        <v>82.832748873169578</v>
      </c>
      <c r="V101" s="100">
        <f t="shared" si="30"/>
        <v>-62.3547275168007</v>
      </c>
      <c r="W101" s="100">
        <f t="shared" si="31"/>
        <v>14.982586513410302</v>
      </c>
      <c r="X101" s="100"/>
      <c r="Y101" s="147"/>
    </row>
    <row r="102" spans="13:25" ht="1" customHeight="1">
      <c r="M102" s="154">
        <f t="shared" si="24"/>
        <v>-7.6456559343866282</v>
      </c>
      <c r="N102" s="155">
        <f t="shared" si="21"/>
        <v>-7.6456559343866282</v>
      </c>
      <c r="O102" s="156">
        <f t="shared" si="25"/>
        <v>-0.1334418695296902</v>
      </c>
      <c r="P102" s="96">
        <f t="shared" si="26"/>
        <v>384.61825330544582</v>
      </c>
      <c r="Q102" s="96">
        <f t="shared" si="27"/>
        <v>277.18034342816884</v>
      </c>
      <c r="R102" s="96">
        <f t="shared" si="32"/>
        <v>62.315191888678001</v>
      </c>
      <c r="S102" s="97">
        <f t="shared" si="33"/>
        <v>-14.943050885287617</v>
      </c>
      <c r="T102" s="98">
        <f t="shared" si="28"/>
        <v>-24.618253305445819</v>
      </c>
      <c r="U102" s="99">
        <f t="shared" si="29"/>
        <v>82.81965657183116</v>
      </c>
      <c r="V102" s="100">
        <f t="shared" si="30"/>
        <v>-62.315191888678001</v>
      </c>
      <c r="W102" s="100">
        <f t="shared" si="31"/>
        <v>14.943050885287617</v>
      </c>
      <c r="X102" s="100"/>
      <c r="Y102" s="147"/>
    </row>
    <row r="103" spans="13:25" ht="1" customHeight="1">
      <c r="M103" s="154">
        <f t="shared" si="24"/>
        <v>-8.2496334735476324</v>
      </c>
      <c r="N103" s="155">
        <f t="shared" si="21"/>
        <v>-8.2496334735476324</v>
      </c>
      <c r="O103" s="156">
        <f t="shared" si="25"/>
        <v>-0.14398326619614271</v>
      </c>
      <c r="P103" s="96">
        <f t="shared" si="26"/>
        <v>384.6003778894891</v>
      </c>
      <c r="Q103" s="96">
        <f t="shared" si="27"/>
        <v>277.19821884412551</v>
      </c>
      <c r="R103" s="96">
        <f t="shared" si="32"/>
        <v>62.267441375682822</v>
      </c>
      <c r="S103" s="97">
        <f t="shared" si="33"/>
        <v>-14.895300372292436</v>
      </c>
      <c r="T103" s="98">
        <f t="shared" si="28"/>
        <v>-24.600377889489096</v>
      </c>
      <c r="U103" s="99">
        <f t="shared" si="29"/>
        <v>82.801781155874494</v>
      </c>
      <c r="V103" s="100">
        <f t="shared" si="30"/>
        <v>-62.267441375682822</v>
      </c>
      <c r="W103" s="100">
        <f t="shared" si="31"/>
        <v>14.895300372292436</v>
      </c>
      <c r="X103" s="100"/>
      <c r="Y103" s="147"/>
    </row>
    <row r="104" spans="13:25" ht="1" customHeight="1">
      <c r="M104" s="154">
        <f t="shared" si="24"/>
        <v>-8.8536110127086367</v>
      </c>
      <c r="N104" s="155">
        <f t="shared" si="21"/>
        <v>-8.8536110127086367</v>
      </c>
      <c r="O104" s="156">
        <f t="shared" si="25"/>
        <v>-0.15452466286259522</v>
      </c>
      <c r="P104" s="96">
        <f t="shared" si="26"/>
        <v>384.57769092171424</v>
      </c>
      <c r="Q104" s="96">
        <f t="shared" si="27"/>
        <v>277.22090581190042</v>
      </c>
      <c r="R104" s="96">
        <f t="shared" si="32"/>
        <v>62.211403270213815</v>
      </c>
      <c r="S104" s="97">
        <f t="shared" si="33"/>
        <v>-14.839262266823431</v>
      </c>
      <c r="T104" s="98">
        <f t="shared" si="28"/>
        <v>-24.577690921714236</v>
      </c>
      <c r="U104" s="99">
        <f t="shared" si="29"/>
        <v>82.779094188099577</v>
      </c>
      <c r="V104" s="100">
        <f t="shared" si="30"/>
        <v>-62.211403270213815</v>
      </c>
      <c r="W104" s="100">
        <f t="shared" si="31"/>
        <v>14.839262266823431</v>
      </c>
      <c r="X104" s="100"/>
      <c r="Y104" s="147"/>
    </row>
    <row r="105" spans="13:25" ht="1" customHeight="1">
      <c r="M105" s="154">
        <f t="shared" si="24"/>
        <v>-9.457588551869641</v>
      </c>
      <c r="N105" s="155">
        <f t="shared" si="21"/>
        <v>-9.457588551869641</v>
      </c>
      <c r="O105" s="156">
        <f t="shared" si="25"/>
        <v>-0.16506605952904774</v>
      </c>
      <c r="P105" s="96">
        <f t="shared" si="26"/>
        <v>384.5501602125139</v>
      </c>
      <c r="Q105" s="96">
        <f t="shared" si="27"/>
        <v>277.24843652110076</v>
      </c>
      <c r="R105" s="96">
        <f t="shared" si="32"/>
        <v>62.146995103209001</v>
      </c>
      <c r="S105" s="97">
        <f t="shared" si="33"/>
        <v>-14.774854099818603</v>
      </c>
      <c r="T105" s="98">
        <f t="shared" si="28"/>
        <v>-24.550160212513902</v>
      </c>
      <c r="U105" s="99">
        <f t="shared" si="29"/>
        <v>82.751563478899243</v>
      </c>
      <c r="V105" s="100">
        <f t="shared" si="30"/>
        <v>-62.146995103209001</v>
      </c>
      <c r="W105" s="100">
        <f t="shared" si="31"/>
        <v>14.774854099818603</v>
      </c>
      <c r="X105" s="100"/>
      <c r="Y105" s="147"/>
    </row>
    <row r="106" spans="13:25" ht="1" customHeight="1">
      <c r="M106" s="154">
        <f t="shared" si="24"/>
        <v>-10.061566091030645</v>
      </c>
      <c r="N106" s="155">
        <f t="shared" si="21"/>
        <v>-10.061566091030645</v>
      </c>
      <c r="O106" s="156">
        <f t="shared" si="25"/>
        <v>-0.17560745619550025</v>
      </c>
      <c r="P106" s="96">
        <f t="shared" si="26"/>
        <v>384.51774974788219</v>
      </c>
      <c r="Q106" s="96">
        <f t="shared" si="27"/>
        <v>277.28084698573247</v>
      </c>
      <c r="R106" s="96">
        <f t="shared" si="32"/>
        <v>62.074124335094005</v>
      </c>
      <c r="S106" s="97">
        <f t="shared" si="33"/>
        <v>-14.701983331703621</v>
      </c>
      <c r="T106" s="98">
        <f t="shared" si="28"/>
        <v>-24.517749747882192</v>
      </c>
      <c r="U106" s="99">
        <f t="shared" si="29"/>
        <v>82.719153014267533</v>
      </c>
      <c r="V106" s="100">
        <f t="shared" si="30"/>
        <v>-62.074124335094005</v>
      </c>
      <c r="W106" s="100">
        <f t="shared" si="31"/>
        <v>14.701983331703621</v>
      </c>
      <c r="X106" s="100"/>
      <c r="Y106" s="147"/>
    </row>
    <row r="107" spans="13:25" ht="1" customHeight="1">
      <c r="M107" s="154">
        <f t="shared" si="24"/>
        <v>-10.66554363019165</v>
      </c>
      <c r="N107" s="155">
        <f t="shared" si="21"/>
        <v>-10.66554363019165</v>
      </c>
      <c r="O107" s="156">
        <f t="shared" si="25"/>
        <v>-0.18614885286195279</v>
      </c>
      <c r="P107" s="96">
        <f t="shared" si="26"/>
        <v>384.480419608651</v>
      </c>
      <c r="Q107" s="96">
        <f t="shared" si="27"/>
        <v>277.31817712496365</v>
      </c>
      <c r="R107" s="96">
        <f t="shared" si="32"/>
        <v>61.992688003644204</v>
      </c>
      <c r="S107" s="97">
        <f t="shared" si="33"/>
        <v>-14.620547000253815</v>
      </c>
      <c r="T107" s="98">
        <f t="shared" si="28"/>
        <v>-24.480419608651005</v>
      </c>
      <c r="U107" s="99">
        <f t="shared" si="29"/>
        <v>82.681822875036346</v>
      </c>
      <c r="V107" s="100">
        <f t="shared" si="30"/>
        <v>-61.992688003644204</v>
      </c>
      <c r="W107" s="100">
        <f t="shared" si="31"/>
        <v>14.620547000253815</v>
      </c>
      <c r="X107" s="100"/>
      <c r="Y107" s="147"/>
    </row>
    <row r="108" spans="13:25" ht="1" customHeight="1">
      <c r="M108" s="154">
        <f t="shared" si="24"/>
        <v>-11.269521169352654</v>
      </c>
      <c r="N108" s="155">
        <f t="shared" si="21"/>
        <v>-11.269521169352654</v>
      </c>
      <c r="O108" s="156">
        <f t="shared" si="25"/>
        <v>-0.1966902495284053</v>
      </c>
      <c r="P108" s="96">
        <f t="shared" si="26"/>
        <v>384.43812588058449</v>
      </c>
      <c r="Q108" s="96">
        <f t="shared" si="27"/>
        <v>277.36047085303011</v>
      </c>
      <c r="R108" s="96">
        <f t="shared" si="32"/>
        <v>61.902572325601142</v>
      </c>
      <c r="S108" s="97">
        <f t="shared" si="33"/>
        <v>-14.530431322210747</v>
      </c>
      <c r="T108" s="98">
        <f t="shared" si="28"/>
        <v>-24.438125880584494</v>
      </c>
      <c r="U108" s="99">
        <f t="shared" si="29"/>
        <v>82.639529146969892</v>
      </c>
      <c r="V108" s="100">
        <f t="shared" si="30"/>
        <v>-61.902572325601142</v>
      </c>
      <c r="W108" s="100">
        <f t="shared" si="31"/>
        <v>14.530431322210747</v>
      </c>
      <c r="X108" s="100"/>
      <c r="Y108" s="147"/>
    </row>
    <row r="109" spans="13:25" ht="1" customHeight="1">
      <c r="M109" s="154">
        <f t="shared" si="24"/>
        <v>-11.873498708513658</v>
      </c>
      <c r="N109" s="155">
        <f t="shared" si="21"/>
        <v>-11.873498708513658</v>
      </c>
      <c r="O109" s="156">
        <f t="shared" si="25"/>
        <v>-0.20723164619485782</v>
      </c>
      <c r="P109" s="96">
        <f t="shared" si="26"/>
        <v>384.39082055491542</v>
      </c>
      <c r="Q109" s="96">
        <f t="shared" si="27"/>
        <v>277.40777617869918</v>
      </c>
      <c r="R109" s="96">
        <f t="shared" si="32"/>
        <v>61.803652248382704</v>
      </c>
      <c r="S109" s="97">
        <f t="shared" si="33"/>
        <v>-14.431511244992313</v>
      </c>
      <c r="T109" s="98">
        <f t="shared" si="28"/>
        <v>-24.390820554915422</v>
      </c>
      <c r="U109" s="99">
        <f t="shared" si="29"/>
        <v>82.59222382130082</v>
      </c>
      <c r="V109" s="100">
        <f t="shared" si="30"/>
        <v>-61.803652248382704</v>
      </c>
      <c r="W109" s="100">
        <f t="shared" si="31"/>
        <v>14.431511244992313</v>
      </c>
      <c r="X109" s="100"/>
      <c r="Y109" s="147"/>
    </row>
    <row r="110" spans="13:25" ht="1" customHeight="1">
      <c r="M110" s="154">
        <f t="shared" ref="M110:M173" si="34">IF(N110&gt;maxn,maxn,IF(N110&lt;mins,mins,N110))</f>
        <v>-12.477476247674662</v>
      </c>
      <c r="N110" s="155">
        <f t="shared" si="21"/>
        <v>-12.477476247674662</v>
      </c>
      <c r="O110" s="156">
        <f t="shared" ref="O110:O173" si="35">RADIANS(M110)</f>
        <v>-0.21777304286131033</v>
      </c>
      <c r="P110" s="96">
        <f t="shared" ref="P110:P173" si="36">IFERROR(DEGREES(grt+ACOS((SIN(h)-SIN(d)*SIN(O110))/COS(d)/COS(O110))),#N/A)</f>
        <v>384.33845141885803</v>
      </c>
      <c r="Q110" s="96">
        <f t="shared" ref="Q110:Q173" si="37">IFERROR(DEGREES(grt-ACOS((SIN(h)-SIN(d)*SIN(O110))/COS(d)/COS(O110))),#N/A)</f>
        <v>277.46014531475657</v>
      </c>
      <c r="R110" s="96">
        <f t="shared" si="32"/>
        <v>61.695790947661358</v>
      </c>
      <c r="S110" s="97">
        <f t="shared" si="33"/>
        <v>-14.323649944270956</v>
      </c>
      <c r="T110" s="98">
        <f t="shared" ref="T110:T173" si="38">IF(P110&lt;0,ABS(P110),IF(P110&gt;360,-(P110-360),IF(AND(P110&gt;180,P110&lt;360),ABS(360-P110),-P110)))</f>
        <v>-24.338451418858028</v>
      </c>
      <c r="U110" s="99">
        <f t="shared" ref="U110:U173" si="39">IF(Q110&lt;0,ABS(Q110),IF(Q110&gt;360,Q110-(Q110-360),IF(AND(Q110&gt;180,Q110&lt;360),ABS(360-Q110),-Q110)))</f>
        <v>82.539854685243427</v>
      </c>
      <c r="V110" s="100">
        <f t="shared" ref="V110:V173" si="40">IF(R110&lt;0,ABS(R110),IF(R110&gt;360,-(R110-360),IF(AND(R110&gt;180,R110&lt;360),ABS(360-R110),-R110)))</f>
        <v>-61.695790947661358</v>
      </c>
      <c r="W110" s="100">
        <f t="shared" ref="W110:W173" si="41">IF(S110&lt;0,ABS(S110),IF(S110&gt;360,-(S110-360),IF(AND(S110&gt;180,S110&lt;360),ABS(360-S110),-S110)))</f>
        <v>14.323649944270956</v>
      </c>
      <c r="X110" s="100"/>
      <c r="Y110" s="147"/>
    </row>
    <row r="111" spans="13:25" ht="1" customHeight="1">
      <c r="M111" s="154">
        <f t="shared" si="34"/>
        <v>-13.081453786835667</v>
      </c>
      <c r="N111" s="155">
        <f t="shared" si="21"/>
        <v>-13.081453786835667</v>
      </c>
      <c r="O111" s="156">
        <f t="shared" si="35"/>
        <v>-0.22831443952776284</v>
      </c>
      <c r="P111" s="96">
        <f t="shared" si="36"/>
        <v>384.28096193557536</v>
      </c>
      <c r="Q111" s="96">
        <f t="shared" si="37"/>
        <v>277.5176347980393</v>
      </c>
      <c r="R111" s="96">
        <f t="shared" si="32"/>
        <v>61.578839265943884</v>
      </c>
      <c r="S111" s="97">
        <f t="shared" si="33"/>
        <v>-14.206698262553495</v>
      </c>
      <c r="T111" s="98">
        <f t="shared" si="38"/>
        <v>-24.280961935575363</v>
      </c>
      <c r="U111" s="99">
        <f t="shared" si="39"/>
        <v>82.482365201960704</v>
      </c>
      <c r="V111" s="100">
        <f t="shared" si="40"/>
        <v>-61.578839265943884</v>
      </c>
      <c r="W111" s="100">
        <f t="shared" si="41"/>
        <v>14.206698262553495</v>
      </c>
      <c r="X111" s="100"/>
      <c r="Y111" s="147"/>
    </row>
    <row r="112" spans="13:25" ht="1" customHeight="1">
      <c r="M112" s="154">
        <f t="shared" si="34"/>
        <v>-13.685431325996671</v>
      </c>
      <c r="N112" s="155">
        <f t="shared" si="21"/>
        <v>-13.685431325996671</v>
      </c>
      <c r="O112" s="156">
        <f t="shared" si="35"/>
        <v>-0.23885583619421535</v>
      </c>
      <c r="P112" s="96">
        <f t="shared" si="36"/>
        <v>384.21829111302407</v>
      </c>
      <c r="Q112" s="96">
        <f t="shared" si="37"/>
        <v>277.58030562059054</v>
      </c>
      <c r="R112" s="96">
        <f t="shared" si="32"/>
        <v>61.452635086554963</v>
      </c>
      <c r="S112" s="97">
        <f t="shared" si="33"/>
        <v>-14.080494083164561</v>
      </c>
      <c r="T112" s="98">
        <f t="shared" si="38"/>
        <v>-24.218291113024065</v>
      </c>
      <c r="U112" s="99">
        <f t="shared" si="39"/>
        <v>82.419694379409464</v>
      </c>
      <c r="V112" s="100">
        <f t="shared" si="40"/>
        <v>-61.452635086554963</v>
      </c>
      <c r="W112" s="100">
        <f t="shared" si="41"/>
        <v>14.080494083164561</v>
      </c>
      <c r="X112" s="100"/>
      <c r="Y112" s="147"/>
    </row>
    <row r="113" spans="13:25" ht="1" customHeight="1">
      <c r="M113" s="154">
        <f t="shared" si="34"/>
        <v>-14.289408865157675</v>
      </c>
      <c r="N113" s="155">
        <f t="shared" si="21"/>
        <v>-14.289408865157675</v>
      </c>
      <c r="O113" s="156">
        <f t="shared" si="35"/>
        <v>-0.24939723286066787</v>
      </c>
      <c r="P113" s="96">
        <f t="shared" si="36"/>
        <v>384.15037336103262</v>
      </c>
      <c r="Q113" s="96">
        <f t="shared" si="37"/>
        <v>277.64822337258204</v>
      </c>
      <c r="R113" s="96">
        <f t="shared" si="32"/>
        <v>61.317002636587517</v>
      </c>
      <c r="S113" s="97">
        <f t="shared" si="33"/>
        <v>-13.94486163319713</v>
      </c>
      <c r="T113" s="98">
        <f t="shared" si="38"/>
        <v>-24.150373361032621</v>
      </c>
      <c r="U113" s="99">
        <f t="shared" si="39"/>
        <v>82.351776627417962</v>
      </c>
      <c r="V113" s="100">
        <f t="shared" si="40"/>
        <v>-61.317002636587517</v>
      </c>
      <c r="W113" s="100">
        <f t="shared" si="41"/>
        <v>13.94486163319713</v>
      </c>
      <c r="X113" s="100"/>
      <c r="Y113" s="147"/>
    </row>
    <row r="114" spans="13:25" ht="1" customHeight="1">
      <c r="M114" s="154">
        <f t="shared" si="34"/>
        <v>-14.893386404318679</v>
      </c>
      <c r="N114" s="155">
        <f t="shared" si="21"/>
        <v>-14.893386404318679</v>
      </c>
      <c r="O114" s="156">
        <f t="shared" si="35"/>
        <v>-0.25993862952712038</v>
      </c>
      <c r="P114" s="96">
        <f t="shared" si="36"/>
        <v>384.0771383359006</v>
      </c>
      <c r="Q114" s="96">
        <f t="shared" si="37"/>
        <v>277.72145839771406</v>
      </c>
      <c r="R114" s="96">
        <f t="shared" si="32"/>
        <v>61.171751711416547</v>
      </c>
      <c r="S114" s="97">
        <f t="shared" si="33"/>
        <v>-13.799610708026156</v>
      </c>
      <c r="T114" s="98">
        <f t="shared" si="38"/>
        <v>-24.077138335900599</v>
      </c>
      <c r="U114" s="99">
        <f t="shared" si="39"/>
        <v>82.278541602285941</v>
      </c>
      <c r="V114" s="100">
        <f t="shared" si="40"/>
        <v>-61.171751711416547</v>
      </c>
      <c r="W114" s="100">
        <f t="shared" si="41"/>
        <v>13.799610708026156</v>
      </c>
      <c r="X114" s="100"/>
      <c r="Y114" s="147"/>
    </row>
    <row r="115" spans="13:25" ht="1" customHeight="1">
      <c r="M115" s="154">
        <f t="shared" si="34"/>
        <v>-15.497363943479684</v>
      </c>
      <c r="N115" s="155">
        <f t="shared" si="21"/>
        <v>-15.497363943479684</v>
      </c>
      <c r="O115" s="156">
        <f t="shared" si="35"/>
        <v>-0.27048002619357292</v>
      </c>
      <c r="P115" s="96">
        <f t="shared" si="36"/>
        <v>383.99851077173292</v>
      </c>
      <c r="Q115" s="96">
        <f t="shared" si="37"/>
        <v>277.80008596188168</v>
      </c>
      <c r="R115" s="96">
        <f t="shared" si="32"/>
        <v>61.016676812252172</v>
      </c>
      <c r="S115" s="97">
        <f t="shared" si="33"/>
        <v>-13.644535808861775</v>
      </c>
      <c r="T115" s="98">
        <f t="shared" si="38"/>
        <v>-23.998510771732924</v>
      </c>
      <c r="U115" s="99">
        <f t="shared" si="39"/>
        <v>82.199914038118322</v>
      </c>
      <c r="V115" s="100">
        <f t="shared" si="40"/>
        <v>-61.016676812252172</v>
      </c>
      <c r="W115" s="100">
        <f t="shared" si="41"/>
        <v>13.644535808861775</v>
      </c>
      <c r="X115" s="100"/>
      <c r="Y115" s="147"/>
    </row>
    <row r="116" spans="13:25" ht="1" customHeight="1">
      <c r="M116" s="154">
        <f t="shared" si="34"/>
        <v>-16.101341482640688</v>
      </c>
      <c r="N116" s="155">
        <f t="shared" si="21"/>
        <v>-16.101341482640688</v>
      </c>
      <c r="O116" s="156">
        <f t="shared" si="35"/>
        <v>-0.2810214228600254</v>
      </c>
      <c r="P116" s="96">
        <f t="shared" si="36"/>
        <v>383.91441029763502</v>
      </c>
      <c r="Q116" s="96">
        <f t="shared" si="37"/>
        <v>277.88418643597964</v>
      </c>
      <c r="R116" s="96">
        <f t="shared" si="32"/>
        <v>60.851556186905945</v>
      </c>
      <c r="S116" s="97">
        <f t="shared" si="33"/>
        <v>-13.479415183515552</v>
      </c>
      <c r="T116" s="98">
        <f t="shared" si="38"/>
        <v>-23.914410297635015</v>
      </c>
      <c r="U116" s="99">
        <f t="shared" si="39"/>
        <v>82.115813564020357</v>
      </c>
      <c r="V116" s="100">
        <f t="shared" si="40"/>
        <v>-60.851556186905945</v>
      </c>
      <c r="W116" s="100">
        <f t="shared" si="41"/>
        <v>13.479415183515552</v>
      </c>
      <c r="X116" s="100"/>
      <c r="Y116" s="147"/>
    </row>
    <row r="117" spans="13:25" ht="1" customHeight="1">
      <c r="M117" s="154">
        <f t="shared" si="34"/>
        <v>-16.705319021801692</v>
      </c>
      <c r="N117" s="155">
        <f t="shared" si="21"/>
        <v>-16.705319021801692</v>
      </c>
      <c r="O117" s="156">
        <f t="shared" si="35"/>
        <v>-0.29156281952647795</v>
      </c>
      <c r="P117" s="96">
        <f t="shared" si="36"/>
        <v>383.82475123980777</v>
      </c>
      <c r="Q117" s="96">
        <f t="shared" si="37"/>
        <v>277.97384549380683</v>
      </c>
      <c r="R117" s="96">
        <f t="shared" si="32"/>
        <v>60.676150762421919</v>
      </c>
      <c r="S117" s="97">
        <f t="shared" si="33"/>
        <v>-13.304009759031524</v>
      </c>
      <c r="T117" s="98">
        <f t="shared" si="38"/>
        <v>-23.824751239807767</v>
      </c>
      <c r="U117" s="99">
        <f t="shared" si="39"/>
        <v>82.026154506193166</v>
      </c>
      <c r="V117" s="100">
        <f t="shared" si="40"/>
        <v>-60.676150762421919</v>
      </c>
      <c r="W117" s="100">
        <f t="shared" si="41"/>
        <v>13.304009759031524</v>
      </c>
      <c r="X117" s="100"/>
      <c r="Y117" s="147"/>
    </row>
    <row r="118" spans="13:25" ht="1" customHeight="1">
      <c r="M118" s="154">
        <f t="shared" si="34"/>
        <v>-17.309296560962697</v>
      </c>
      <c r="N118" s="155">
        <f t="shared" si="21"/>
        <v>-17.309296560962697</v>
      </c>
      <c r="O118" s="156">
        <f t="shared" si="35"/>
        <v>-0.30210421619293043</v>
      </c>
      <c r="P118" s="96">
        <f t="shared" si="36"/>
        <v>383.72944240747825</v>
      </c>
      <c r="Q118" s="96">
        <f t="shared" si="37"/>
        <v>278.06915432613641</v>
      </c>
      <c r="R118" s="96">
        <f t="shared" si="32"/>
        <v>60.490202956437194</v>
      </c>
      <c r="S118" s="97">
        <f t="shared" si="33"/>
        <v>-13.118061953046801</v>
      </c>
      <c r="T118" s="98">
        <f t="shared" si="38"/>
        <v>-23.729442407478246</v>
      </c>
      <c r="U118" s="99">
        <f t="shared" si="39"/>
        <v>81.930845673863587</v>
      </c>
      <c r="V118" s="100">
        <f t="shared" si="40"/>
        <v>-60.490202956437194</v>
      </c>
      <c r="W118" s="100">
        <f t="shared" si="41"/>
        <v>13.118061953046801</v>
      </c>
      <c r="X118" s="100"/>
      <c r="Y118" s="147"/>
    </row>
    <row r="119" spans="13:25" ht="1" customHeight="1">
      <c r="M119" s="154">
        <f t="shared" si="34"/>
        <v>-17.913274100123701</v>
      </c>
      <c r="N119" s="155">
        <f t="shared" si="21"/>
        <v>-17.913274100123701</v>
      </c>
      <c r="O119" s="156">
        <f t="shared" si="35"/>
        <v>-0.31264561285938297</v>
      </c>
      <c r="P119" s="96">
        <f t="shared" si="36"/>
        <v>383.62838686148928</v>
      </c>
      <c r="Q119" s="96">
        <f t="shared" si="37"/>
        <v>278.17020987212538</v>
      </c>
      <c r="R119" s="96">
        <f t="shared" si="32"/>
        <v>60.29343535203197</v>
      </c>
      <c r="S119" s="97">
        <f t="shared" si="33"/>
        <v>-12.92129434864157</v>
      </c>
      <c r="T119" s="98">
        <f t="shared" si="38"/>
        <v>-23.628386861489275</v>
      </c>
      <c r="U119" s="99">
        <f t="shared" si="39"/>
        <v>81.829790127874617</v>
      </c>
      <c r="V119" s="100">
        <f t="shared" si="40"/>
        <v>-60.29343535203197</v>
      </c>
      <c r="W119" s="100">
        <f t="shared" si="41"/>
        <v>12.92129434864157</v>
      </c>
      <c r="X119" s="100"/>
      <c r="Y119" s="147"/>
    </row>
    <row r="120" spans="13:25" ht="1" customHeight="1">
      <c r="M120" s="154">
        <f t="shared" si="34"/>
        <v>-18.517251639284705</v>
      </c>
      <c r="N120" s="155">
        <f t="shared" si="21"/>
        <v>-18.517251639284705</v>
      </c>
      <c r="O120" s="156">
        <f t="shared" si="35"/>
        <v>-0.32318700952583546</v>
      </c>
      <c r="P120" s="96">
        <f t="shared" si="36"/>
        <v>383.52148166424962</v>
      </c>
      <c r="Q120" s="96">
        <f t="shared" si="37"/>
        <v>278.27711506936498</v>
      </c>
      <c r="R120" s="96">
        <f t="shared" si="32"/>
        <v>60.0855492183357</v>
      </c>
      <c r="S120" s="97">
        <f t="shared" si="33"/>
        <v>-12.713408214945314</v>
      </c>
      <c r="T120" s="98">
        <f t="shared" si="38"/>
        <v>-23.52148166424962</v>
      </c>
      <c r="U120" s="99">
        <f t="shared" si="39"/>
        <v>81.722884930635018</v>
      </c>
      <c r="V120" s="100">
        <f t="shared" si="40"/>
        <v>-60.0855492183357</v>
      </c>
      <c r="W120" s="100">
        <f t="shared" si="41"/>
        <v>12.713408214945314</v>
      </c>
      <c r="X120" s="100"/>
      <c r="Y120" s="147"/>
    </row>
    <row r="121" spans="13:25" ht="1" customHeight="1">
      <c r="M121" s="154">
        <f t="shared" si="34"/>
        <v>-19.121229178445709</v>
      </c>
      <c r="N121" s="155">
        <f t="shared" si="21"/>
        <v>-19.121229178445709</v>
      </c>
      <c r="O121" s="156">
        <f t="shared" si="35"/>
        <v>-0.333728406192288</v>
      </c>
      <c r="P121" s="96">
        <f t="shared" si="36"/>
        <v>383.40861760960831</v>
      </c>
      <c r="Q121" s="96">
        <f t="shared" si="37"/>
        <v>278.38997912400629</v>
      </c>
      <c r="R121" s="96">
        <f t="shared" si="32"/>
        <v>59.866222856192245</v>
      </c>
      <c r="S121" s="97">
        <f t="shared" si="33"/>
        <v>-12.49408185280185</v>
      </c>
      <c r="T121" s="98">
        <f t="shared" si="38"/>
        <v>-23.408617609608314</v>
      </c>
      <c r="U121" s="99">
        <f t="shared" si="39"/>
        <v>81.610020875993712</v>
      </c>
      <c r="V121" s="100">
        <f t="shared" si="40"/>
        <v>-59.866222856192245</v>
      </c>
      <c r="W121" s="100">
        <f t="shared" si="41"/>
        <v>12.49408185280185</v>
      </c>
      <c r="X121" s="100"/>
      <c r="Y121" s="147"/>
    </row>
    <row r="122" spans="13:25" ht="1" customHeight="1">
      <c r="M122" s="154">
        <f t="shared" si="34"/>
        <v>-19.725206717606714</v>
      </c>
      <c r="N122" s="155">
        <f t="shared" si="21"/>
        <v>-19.725206717606714</v>
      </c>
      <c r="O122" s="156">
        <f t="shared" si="35"/>
        <v>-0.34426980285874048</v>
      </c>
      <c r="P122" s="96">
        <f t="shared" si="36"/>
        <v>383.28967893106108</v>
      </c>
      <c r="Q122" s="96">
        <f t="shared" si="37"/>
        <v>278.50891780255358</v>
      </c>
      <c r="R122" s="96">
        <f t="shared" si="32"/>
        <v>59.635109744644389</v>
      </c>
      <c r="S122" s="97">
        <f t="shared" si="33"/>
        <v>-12.262968741253999</v>
      </c>
      <c r="T122" s="98">
        <f t="shared" si="38"/>
        <v>-23.289678931061076</v>
      </c>
      <c r="U122" s="99">
        <f t="shared" si="39"/>
        <v>81.491082197446417</v>
      </c>
      <c r="V122" s="100">
        <f t="shared" si="40"/>
        <v>-59.635109744644389</v>
      </c>
      <c r="W122" s="100">
        <f t="shared" si="41"/>
        <v>12.262968741253999</v>
      </c>
      <c r="X122" s="100"/>
      <c r="Y122" s="147"/>
    </row>
    <row r="123" spans="13:25" ht="1" customHeight="1">
      <c r="M123" s="154">
        <f t="shared" si="34"/>
        <v>-20.329184256767718</v>
      </c>
      <c r="N123" s="155">
        <f t="shared" si="21"/>
        <v>-20.329184256767718</v>
      </c>
      <c r="O123" s="156">
        <f t="shared" si="35"/>
        <v>-0.35481119952519302</v>
      </c>
      <c r="P123" s="96">
        <f t="shared" si="36"/>
        <v>383.16454298653082</v>
      </c>
      <c r="Q123" s="96">
        <f t="shared" si="37"/>
        <v>278.63405374708378</v>
      </c>
      <c r="R123" s="96">
        <f t="shared" si="32"/>
        <v>59.391836459748063</v>
      </c>
      <c r="S123" s="97">
        <f t="shared" si="33"/>
        <v>-12.019695456357677</v>
      </c>
      <c r="T123" s="98">
        <f t="shared" si="38"/>
        <v>-23.164542986530819</v>
      </c>
      <c r="U123" s="99">
        <f t="shared" si="39"/>
        <v>81.365946252916217</v>
      </c>
      <c r="V123" s="100">
        <f t="shared" si="40"/>
        <v>-59.391836459748063</v>
      </c>
      <c r="W123" s="100">
        <f t="shared" si="41"/>
        <v>12.019695456357677</v>
      </c>
      <c r="X123" s="100"/>
      <c r="Y123" s="147"/>
    </row>
    <row r="124" spans="13:25" ht="1" customHeight="1">
      <c r="M124" s="154">
        <f t="shared" si="34"/>
        <v>-20.933161795928722</v>
      </c>
      <c r="N124" s="155">
        <f t="shared" si="21"/>
        <v>-20.933161795928722</v>
      </c>
      <c r="O124" s="156">
        <f t="shared" si="35"/>
        <v>-0.36535259619164551</v>
      </c>
      <c r="P124" s="96">
        <f t="shared" si="36"/>
        <v>383.03307991776933</v>
      </c>
      <c r="Q124" s="96">
        <f t="shared" si="37"/>
        <v>278.76551681584527</v>
      </c>
      <c r="R124" s="96">
        <f t="shared" si="32"/>
        <v>59.136000332096572</v>
      </c>
      <c r="S124" s="97">
        <f t="shared" si="33"/>
        <v>-11.763859328706177</v>
      </c>
      <c r="T124" s="98">
        <f t="shared" si="38"/>
        <v>-23.033079917769328</v>
      </c>
      <c r="U124" s="99">
        <f t="shared" si="39"/>
        <v>81.234483184154726</v>
      </c>
      <c r="V124" s="100">
        <f t="shared" si="40"/>
        <v>-59.136000332096572</v>
      </c>
      <c r="W124" s="100">
        <f t="shared" si="41"/>
        <v>11.763859328706177</v>
      </c>
      <c r="X124" s="100"/>
      <c r="Y124" s="147"/>
    </row>
    <row r="125" spans="13:25" ht="1" customHeight="1">
      <c r="M125" s="154">
        <f t="shared" si="34"/>
        <v>-21.537139335089726</v>
      </c>
      <c r="N125" s="155">
        <f t="shared" si="21"/>
        <v>-21.537139335089726</v>
      </c>
      <c r="O125" s="156">
        <f t="shared" si="35"/>
        <v>-0.37589399285809805</v>
      </c>
      <c r="P125" s="96">
        <f t="shared" si="36"/>
        <v>382.8951522822141</v>
      </c>
      <c r="Q125" s="96">
        <f t="shared" si="37"/>
        <v>278.90344445140056</v>
      </c>
      <c r="R125" s="96">
        <f t="shared" si="32"/>
        <v>58.86716680321684</v>
      </c>
      <c r="S125" s="97">
        <f t="shared" si="33"/>
        <v>-11.49502579982644</v>
      </c>
      <c r="T125" s="98">
        <f t="shared" si="38"/>
        <v>-22.895152282214099</v>
      </c>
      <c r="U125" s="99">
        <f t="shared" si="39"/>
        <v>81.09655554859944</v>
      </c>
      <c r="V125" s="100">
        <f t="shared" si="40"/>
        <v>-58.86716680321684</v>
      </c>
      <c r="W125" s="100">
        <f t="shared" si="41"/>
        <v>11.49502579982644</v>
      </c>
      <c r="X125" s="100"/>
      <c r="Y125" s="147"/>
    </row>
    <row r="126" spans="13:25" ht="1" customHeight="1">
      <c r="M126" s="154">
        <f t="shared" si="34"/>
        <v>-22.141116874250731</v>
      </c>
      <c r="N126" s="155">
        <f t="shared" si="21"/>
        <v>-22.141116874250731</v>
      </c>
      <c r="O126" s="156">
        <f t="shared" si="35"/>
        <v>-0.38643538952455053</v>
      </c>
      <c r="P126" s="96">
        <f t="shared" si="36"/>
        <v>382.75061465489563</v>
      </c>
      <c r="Q126" s="96">
        <f t="shared" si="37"/>
        <v>279.04798207871897</v>
      </c>
      <c r="R126" s="96">
        <f t="shared" si="32"/>
        <v>58.584866433417865</v>
      </c>
      <c r="S126" s="97">
        <f t="shared" si="33"/>
        <v>-11.21272543002747</v>
      </c>
      <c r="T126" s="98">
        <f t="shared" si="38"/>
        <v>-22.750614654895628</v>
      </c>
      <c r="U126" s="99">
        <f t="shared" si="39"/>
        <v>80.952017921281026</v>
      </c>
      <c r="V126" s="100">
        <f t="shared" si="40"/>
        <v>-58.584866433417865</v>
      </c>
      <c r="W126" s="100">
        <f t="shared" si="41"/>
        <v>11.21272543002747</v>
      </c>
      <c r="X126" s="100"/>
      <c r="Y126" s="147"/>
    </row>
    <row r="127" spans="13:25" ht="1" customHeight="1">
      <c r="M127" s="154">
        <f t="shared" si="34"/>
        <v>-22.745094413411735</v>
      </c>
      <c r="N127" s="155">
        <f t="shared" si="21"/>
        <v>-22.745094413411735</v>
      </c>
      <c r="O127" s="156">
        <f t="shared" si="35"/>
        <v>-0.39697678619100307</v>
      </c>
      <c r="P127" s="96">
        <f t="shared" si="36"/>
        <v>382.59931319771817</v>
      </c>
      <c r="Q127" s="96">
        <f t="shared" si="37"/>
        <v>279.19928353589648</v>
      </c>
      <c r="R127" s="96">
        <f t="shared" si="32"/>
        <v>58.288591504375226</v>
      </c>
      <c r="S127" s="97">
        <f t="shared" si="33"/>
        <v>-10.916450500984839</v>
      </c>
      <c r="T127" s="98">
        <f t="shared" si="38"/>
        <v>-22.599313197718175</v>
      </c>
      <c r="U127" s="99">
        <f t="shared" si="39"/>
        <v>80.800716464103516</v>
      </c>
      <c r="V127" s="100">
        <f t="shared" si="40"/>
        <v>-58.288591504375226</v>
      </c>
      <c r="W127" s="100">
        <f t="shared" si="41"/>
        <v>10.916450500984839</v>
      </c>
      <c r="X127" s="100"/>
      <c r="Y127" s="147"/>
    </row>
    <row r="128" spans="13:25" ht="1" customHeight="1">
      <c r="M128" s="154">
        <f t="shared" si="34"/>
        <v>-23.349071952572739</v>
      </c>
      <c r="N128" s="155">
        <f t="shared" si="21"/>
        <v>-23.349071952572739</v>
      </c>
      <c r="O128" s="156">
        <f t="shared" si="35"/>
        <v>-0.40751818285745561</v>
      </c>
      <c r="P128" s="96">
        <f t="shared" si="36"/>
        <v>382.44108519313124</v>
      </c>
      <c r="Q128" s="96">
        <f t="shared" si="37"/>
        <v>279.35751154048342</v>
      </c>
      <c r="R128" s="96">
        <f t="shared" si="32"/>
        <v>57.977792148271419</v>
      </c>
      <c r="S128" s="97">
        <f t="shared" si="33"/>
        <v>-10.605651144881028</v>
      </c>
      <c r="T128" s="98">
        <f t="shared" si="38"/>
        <v>-22.441085193131244</v>
      </c>
      <c r="U128" s="99">
        <f t="shared" si="39"/>
        <v>80.642488459516585</v>
      </c>
      <c r="V128" s="100">
        <f t="shared" si="40"/>
        <v>-57.977792148271419</v>
      </c>
      <c r="W128" s="100">
        <f t="shared" si="41"/>
        <v>10.605651144881028</v>
      </c>
      <c r="X128" s="100"/>
      <c r="Y128" s="147"/>
    </row>
    <row r="129" spans="13:25" ht="1" customHeight="1">
      <c r="M129" s="154">
        <f t="shared" si="34"/>
        <v>-23.953049491733744</v>
      </c>
      <c r="N129" s="155">
        <f t="shared" si="21"/>
        <v>-23.953049491733744</v>
      </c>
      <c r="O129" s="156">
        <f t="shared" si="35"/>
        <v>-0.4180595795239081</v>
      </c>
      <c r="P129" s="96">
        <f t="shared" si="36"/>
        <v>382.2757585388668</v>
      </c>
      <c r="Q129" s="96">
        <f t="shared" si="37"/>
        <v>279.52283819474786</v>
      </c>
      <c r="R129" s="96">
        <f t="shared" si="32"/>
        <v>57.651871921081892</v>
      </c>
      <c r="S129" s="97">
        <f t="shared" si="33"/>
        <v>-10.279730917691495</v>
      </c>
      <c r="T129" s="98">
        <f t="shared" si="38"/>
        <v>-22.275758538866796</v>
      </c>
      <c r="U129" s="99">
        <f t="shared" si="39"/>
        <v>80.477161805252138</v>
      </c>
      <c r="V129" s="100">
        <f t="shared" si="40"/>
        <v>-57.651871921081892</v>
      </c>
      <c r="W129" s="100">
        <f t="shared" si="41"/>
        <v>10.279730917691495</v>
      </c>
      <c r="X129" s="100"/>
      <c r="Y129" s="147"/>
    </row>
    <row r="130" spans="13:25" ht="1" customHeight="1">
      <c r="M130" s="154">
        <f t="shared" si="34"/>
        <v>-24.557027030894748</v>
      </c>
      <c r="N130" s="155">
        <f t="shared" si="21"/>
        <v>-24.557027030894748</v>
      </c>
      <c r="O130" s="156">
        <f t="shared" si="35"/>
        <v>-0.42860097619036064</v>
      </c>
      <c r="P130" s="96">
        <f t="shared" si="36"/>
        <v>382.10315120002127</v>
      </c>
      <c r="Q130" s="96">
        <f t="shared" si="37"/>
        <v>279.69544553359333</v>
      </c>
      <c r="R130" s="96">
        <f t="shared" si="32"/>
        <v>57.310182719818584</v>
      </c>
      <c r="S130" s="97">
        <f t="shared" si="33"/>
        <v>-9.9380417164281933</v>
      </c>
      <c r="T130" s="98">
        <f t="shared" si="38"/>
        <v>-22.103151200021273</v>
      </c>
      <c r="U130" s="99">
        <f t="shared" si="39"/>
        <v>80.304554466406671</v>
      </c>
      <c r="V130" s="100">
        <f t="shared" si="40"/>
        <v>-57.310182719818584</v>
      </c>
      <c r="W130" s="100">
        <f t="shared" si="41"/>
        <v>9.9380417164281933</v>
      </c>
      <c r="X130" s="100"/>
      <c r="Y130" s="147"/>
    </row>
    <row r="131" spans="13:25" ht="1" customHeight="1">
      <c r="M131" s="154">
        <f t="shared" si="34"/>
        <v>-25.161004570055752</v>
      </c>
      <c r="N131" s="155">
        <f t="shared" si="21"/>
        <v>-25.161004570055752</v>
      </c>
      <c r="O131" s="156">
        <f t="shared" si="35"/>
        <v>-0.43914237285681312</v>
      </c>
      <c r="P131" s="96">
        <f t="shared" si="36"/>
        <v>381.92307061432189</v>
      </c>
      <c r="Q131" s="96">
        <f t="shared" si="37"/>
        <v>279.87552611929277</v>
      </c>
      <c r="R131" s="96">
        <f t="shared" si="32"/>
        <v>56.952018921175068</v>
      </c>
      <c r="S131" s="97">
        <f t="shared" si="33"/>
        <v>-9.5798779177846747</v>
      </c>
      <c r="T131" s="98">
        <f t="shared" si="38"/>
        <v>-21.923070614321887</v>
      </c>
      <c r="U131" s="99">
        <f t="shared" si="39"/>
        <v>80.124473880707228</v>
      </c>
      <c r="V131" s="100">
        <f t="shared" si="40"/>
        <v>-56.952018921175068</v>
      </c>
      <c r="W131" s="100">
        <f t="shared" si="41"/>
        <v>9.5798779177846747</v>
      </c>
      <c r="X131" s="100"/>
      <c r="Y131" s="147"/>
    </row>
    <row r="132" spans="13:25" ht="1" customHeight="1">
      <c r="M132" s="154">
        <f t="shared" si="34"/>
        <v>-25.764982109216756</v>
      </c>
      <c r="N132" s="155">
        <f t="shared" si="21"/>
        <v>-25.764982109216756</v>
      </c>
      <c r="O132" s="156">
        <f t="shared" si="35"/>
        <v>-0.44968376952326566</v>
      </c>
      <c r="P132" s="96">
        <f t="shared" si="36"/>
        <v>381.7353130459054</v>
      </c>
      <c r="Q132" s="96">
        <f t="shared" si="37"/>
        <v>280.0632836877092</v>
      </c>
      <c r="R132" s="96">
        <f t="shared" si="32"/>
        <v>56.576610590660408</v>
      </c>
      <c r="S132" s="97">
        <f t="shared" si="33"/>
        <v>-9.2044695872700135</v>
      </c>
      <c r="T132" s="98">
        <f t="shared" si="38"/>
        <v>-21.7353130459054</v>
      </c>
      <c r="U132" s="99">
        <f t="shared" si="39"/>
        <v>79.936716312290798</v>
      </c>
      <c r="V132" s="100">
        <f t="shared" si="40"/>
        <v>-56.576610590660408</v>
      </c>
      <c r="W132" s="100">
        <f t="shared" si="41"/>
        <v>9.2044695872700135</v>
      </c>
      <c r="X132" s="100"/>
      <c r="Y132" s="147"/>
    </row>
    <row r="133" spans="13:25" ht="1" customHeight="1">
      <c r="M133" s="154">
        <f t="shared" si="34"/>
        <v>-26.368959648377761</v>
      </c>
      <c r="N133" s="155">
        <f t="shared" ref="N133:N190" si="42">N132-step</f>
        <v>-26.368959648377761</v>
      </c>
      <c r="O133" s="156">
        <f t="shared" si="35"/>
        <v>-0.46022516618971815</v>
      </c>
      <c r="P133" s="96">
        <f t="shared" si="36"/>
        <v>381.53966288236364</v>
      </c>
      <c r="Q133" s="96">
        <f t="shared" si="37"/>
        <v>280.25893385125096</v>
      </c>
      <c r="R133" s="96">
        <f t="shared" ref="R133:R164" si="43">IFERROR(DEGREES(grt_+ACOS((SIN(h_)-SIN(d_)*SIN(O133))/COS(d_)/COS(O133))),#N/A)</f>
        <v>56.183115575077139</v>
      </c>
      <c r="S133" s="97">
        <f t="shared" ref="S133:S164" si="44">IFERROR(DEGREES(grt_-ACOS((SIN(h_)-SIN(d_)*SIN(O133))/COS(d_)/COS(O133))),#N/A)</f>
        <v>-8.8109745716867476</v>
      </c>
      <c r="T133" s="98">
        <f t="shared" si="38"/>
        <v>-21.539662882363643</v>
      </c>
      <c r="U133" s="99">
        <f t="shared" si="39"/>
        <v>79.741066148749042</v>
      </c>
      <c r="V133" s="100">
        <f t="shared" si="40"/>
        <v>-56.183115575077139</v>
      </c>
      <c r="W133" s="100">
        <f t="shared" si="41"/>
        <v>8.8109745716867476</v>
      </c>
      <c r="X133" s="100"/>
      <c r="Y133" s="147"/>
    </row>
    <row r="134" spans="13:25" ht="1" customHeight="1">
      <c r="M134" s="154">
        <f t="shared" si="34"/>
        <v>-26.972937187538765</v>
      </c>
      <c r="N134" s="155">
        <f t="shared" si="42"/>
        <v>-26.972937187538765</v>
      </c>
      <c r="O134" s="156">
        <f t="shared" si="35"/>
        <v>-0.47076656285617069</v>
      </c>
      <c r="P134" s="96">
        <f t="shared" si="36"/>
        <v>381.33589186914401</v>
      </c>
      <c r="Q134" s="96">
        <f t="shared" si="37"/>
        <v>280.4627048644706</v>
      </c>
      <c r="R134" s="96">
        <f t="shared" si="43"/>
        <v>55.770610244502187</v>
      </c>
      <c r="S134" s="97">
        <f t="shared" si="44"/>
        <v>-8.3984692411117958</v>
      </c>
      <c r="T134" s="98">
        <f t="shared" si="38"/>
        <v>-21.335891869144007</v>
      </c>
      <c r="U134" s="99">
        <f t="shared" si="39"/>
        <v>79.537295135529405</v>
      </c>
      <c r="V134" s="100">
        <f t="shared" si="40"/>
        <v>-55.770610244502187</v>
      </c>
      <c r="W134" s="100">
        <f t="shared" si="41"/>
        <v>8.3984692411117958</v>
      </c>
      <c r="X134" s="100"/>
      <c r="Y134" s="147"/>
    </row>
    <row r="135" spans="13:25" ht="1" customHeight="1">
      <c r="M135" s="154">
        <f t="shared" si="34"/>
        <v>-27.576914726699769</v>
      </c>
      <c r="N135" s="155">
        <f t="shared" si="42"/>
        <v>-27.576914726699769</v>
      </c>
      <c r="O135" s="156">
        <f t="shared" si="35"/>
        <v>-0.48130795952262317</v>
      </c>
      <c r="P135" s="96">
        <f t="shared" si="36"/>
        <v>381.12375827463671</v>
      </c>
      <c r="Q135" s="96">
        <f t="shared" si="37"/>
        <v>280.67483845897789</v>
      </c>
      <c r="R135" s="96">
        <f t="shared" si="43"/>
        <v>55.338078589200556</v>
      </c>
      <c r="S135" s="97">
        <f t="shared" si="44"/>
        <v>-7.9659375858101624</v>
      </c>
      <c r="T135" s="98">
        <f t="shared" si="38"/>
        <v>-21.123758274636714</v>
      </c>
      <c r="U135" s="99">
        <f t="shared" si="39"/>
        <v>79.325161541022112</v>
      </c>
      <c r="V135" s="100">
        <f t="shared" si="40"/>
        <v>-55.338078589200556</v>
      </c>
      <c r="W135" s="100">
        <f t="shared" si="41"/>
        <v>7.9659375858101624</v>
      </c>
      <c r="X135" s="100"/>
      <c r="Y135" s="147"/>
    </row>
    <row r="136" spans="13:25" ht="1" customHeight="1">
      <c r="M136" s="154">
        <f t="shared" si="34"/>
        <v>-28.180892265860773</v>
      </c>
      <c r="N136" s="155">
        <f t="shared" si="42"/>
        <v>-28.180892265860773</v>
      </c>
      <c r="O136" s="156">
        <f t="shared" si="35"/>
        <v>-0.49184935618907571</v>
      </c>
      <c r="P136" s="96">
        <f t="shared" si="36"/>
        <v>380.90300597840263</v>
      </c>
      <c r="Q136" s="96">
        <f t="shared" si="37"/>
        <v>280.89559075521203</v>
      </c>
      <c r="R136" s="96">
        <f t="shared" si="43"/>
        <v>54.884399297142721</v>
      </c>
      <c r="S136" s="97">
        <f t="shared" si="44"/>
        <v>-7.5122582937523292</v>
      </c>
      <c r="T136" s="98">
        <f t="shared" si="38"/>
        <v>-20.903005978402632</v>
      </c>
      <c r="U136" s="99">
        <f t="shared" si="39"/>
        <v>79.104409244787973</v>
      </c>
      <c r="V136" s="100">
        <f t="shared" si="40"/>
        <v>-54.884399297142721</v>
      </c>
      <c r="W136" s="100">
        <f t="shared" si="41"/>
        <v>7.5122582937523292</v>
      </c>
      <c r="X136" s="100"/>
      <c r="Y136" s="147"/>
    </row>
    <row r="137" spans="13:25" ht="1" customHeight="1">
      <c r="M137" s="154">
        <f t="shared" si="34"/>
        <v>-28.784869805021778</v>
      </c>
      <c r="N137" s="155">
        <f t="shared" si="42"/>
        <v>-28.784869805021778</v>
      </c>
      <c r="O137" s="156">
        <f t="shared" si="35"/>
        <v>-0.50239075285552826</v>
      </c>
      <c r="P137" s="96">
        <f t="shared" si="36"/>
        <v>380.67336347398839</v>
      </c>
      <c r="Q137" s="96">
        <f t="shared" si="37"/>
        <v>281.12523325962627</v>
      </c>
      <c r="R137" s="96">
        <f t="shared" si="43"/>
        <v>54.408330331933691</v>
      </c>
      <c r="S137" s="97">
        <f t="shared" si="44"/>
        <v>-7.0361893285432977</v>
      </c>
      <c r="T137" s="98">
        <f t="shared" si="38"/>
        <v>-20.673363473988388</v>
      </c>
      <c r="U137" s="99">
        <f t="shared" si="39"/>
        <v>78.87476674037373</v>
      </c>
      <c r="V137" s="100">
        <f t="shared" si="40"/>
        <v>-54.408330331933691</v>
      </c>
      <c r="W137" s="100">
        <f t="shared" si="41"/>
        <v>7.0361893285432977</v>
      </c>
      <c r="X137" s="100"/>
      <c r="Y137" s="147"/>
    </row>
    <row r="138" spans="13:25" ht="1" customHeight="1">
      <c r="M138" s="154">
        <f t="shared" si="34"/>
        <v>-29.388847344182782</v>
      </c>
      <c r="N138" s="155">
        <f t="shared" si="42"/>
        <v>-29.388847344182782</v>
      </c>
      <c r="O138" s="156">
        <f t="shared" si="35"/>
        <v>-0.51293214952198074</v>
      </c>
      <c r="P138" s="96">
        <f t="shared" si="36"/>
        <v>380.43454277660402</v>
      </c>
      <c r="Q138" s="96">
        <f t="shared" si="37"/>
        <v>281.36405395701058</v>
      </c>
      <c r="R138" s="96">
        <f t="shared" si="43"/>
        <v>53.908490388844506</v>
      </c>
      <c r="S138" s="97">
        <f t="shared" si="44"/>
        <v>-6.5363493854541099</v>
      </c>
      <c r="T138" s="98">
        <f t="shared" si="38"/>
        <v>-20.434542776604019</v>
      </c>
      <c r="U138" s="99">
        <f t="shared" si="39"/>
        <v>78.635946042989417</v>
      </c>
      <c r="V138" s="100">
        <f t="shared" si="40"/>
        <v>-53.908490388844506</v>
      </c>
      <c r="W138" s="100">
        <f t="shared" si="41"/>
        <v>6.5363493854541099</v>
      </c>
      <c r="X138" s="100"/>
      <c r="Y138" s="147"/>
    </row>
    <row r="139" spans="13:25" ht="1" customHeight="1">
      <c r="M139" s="154">
        <f t="shared" si="34"/>
        <v>-29.992824883343786</v>
      </c>
      <c r="N139" s="155">
        <f t="shared" si="42"/>
        <v>-29.992824883343786</v>
      </c>
      <c r="O139" s="156">
        <f t="shared" si="35"/>
        <v>-0.52347354618843323</v>
      </c>
      <c r="P139" s="96">
        <f t="shared" si="36"/>
        <v>380.18623822458159</v>
      </c>
      <c r="Q139" s="96">
        <f t="shared" si="37"/>
        <v>281.61235850903307</v>
      </c>
      <c r="R139" s="96">
        <f t="shared" si="43"/>
        <v>53.383336413476727</v>
      </c>
      <c r="S139" s="97">
        <f t="shared" si="44"/>
        <v>-6.0111954100863318</v>
      </c>
      <c r="T139" s="98">
        <f t="shared" si="38"/>
        <v>-20.186238224581587</v>
      </c>
      <c r="U139" s="99">
        <f t="shared" si="39"/>
        <v>78.387641490966928</v>
      </c>
      <c r="V139" s="100">
        <f t="shared" si="40"/>
        <v>-53.383336413476727</v>
      </c>
      <c r="W139" s="100">
        <f t="shared" si="41"/>
        <v>6.0111954100863318</v>
      </c>
      <c r="X139" s="100"/>
      <c r="Y139" s="147"/>
    </row>
    <row r="140" spans="13:25" ht="1" customHeight="1">
      <c r="M140" s="154">
        <f t="shared" si="34"/>
        <v>-30.596802422504791</v>
      </c>
      <c r="N140" s="155">
        <f t="shared" si="42"/>
        <v>-30.596802422504791</v>
      </c>
      <c r="O140" s="156">
        <f t="shared" si="35"/>
        <v>-0.53401494285488571</v>
      </c>
      <c r="P140" s="96">
        <f t="shared" si="36"/>
        <v>379.92812516195079</v>
      </c>
      <c r="Q140" s="96">
        <f t="shared" si="37"/>
        <v>281.87047157166387</v>
      </c>
      <c r="R140" s="96">
        <f t="shared" si="43"/>
        <v>52.831136101509841</v>
      </c>
      <c r="S140" s="97">
        <f t="shared" si="44"/>
        <v>-5.4589950981194502</v>
      </c>
      <c r="T140" s="98">
        <f t="shared" si="38"/>
        <v>-19.928125161950788</v>
      </c>
      <c r="U140" s="99">
        <f t="shared" si="39"/>
        <v>78.12952842833613</v>
      </c>
      <c r="V140" s="100">
        <f t="shared" si="40"/>
        <v>-52.831136101509841</v>
      </c>
      <c r="W140" s="100">
        <f t="shared" si="41"/>
        <v>5.4589950981194502</v>
      </c>
      <c r="X140" s="100"/>
      <c r="Y140" s="147"/>
    </row>
    <row r="141" spans="13:25" ht="1" customHeight="1">
      <c r="M141" s="154">
        <f t="shared" si="34"/>
        <v>-31.200779961665795</v>
      </c>
      <c r="N141" s="155">
        <f t="shared" si="42"/>
        <v>-31.200779961665795</v>
      </c>
      <c r="O141" s="156">
        <f t="shared" si="35"/>
        <v>-0.54455633952133831</v>
      </c>
      <c r="P141" s="96">
        <f t="shared" si="36"/>
        <v>379.65985848761733</v>
      </c>
      <c r="Q141" s="96">
        <f t="shared" si="37"/>
        <v>282.13873824599727</v>
      </c>
      <c r="R141" s="96">
        <f t="shared" si="43"/>
        <v>52.249933926040399</v>
      </c>
      <c r="S141" s="97">
        <f t="shared" si="44"/>
        <v>-4.8777929226500074</v>
      </c>
      <c r="T141" s="98">
        <f t="shared" si="38"/>
        <v>-19.659858487617328</v>
      </c>
      <c r="U141" s="99">
        <f t="shared" si="39"/>
        <v>77.861261754002726</v>
      </c>
      <c r="V141" s="100">
        <f t="shared" si="40"/>
        <v>-52.249933926040399</v>
      </c>
      <c r="W141" s="100">
        <f t="shared" si="41"/>
        <v>4.8777929226500074</v>
      </c>
      <c r="X141" s="100"/>
      <c r="Y141" s="147"/>
    </row>
    <row r="142" spans="13:25" ht="1" customHeight="1">
      <c r="M142" s="154">
        <f t="shared" si="34"/>
        <v>-31.804757500826799</v>
      </c>
      <c r="N142" s="155">
        <f t="shared" si="42"/>
        <v>-31.804757500826799</v>
      </c>
      <c r="O142" s="156">
        <f t="shared" si="35"/>
        <v>-0.55509773618779079</v>
      </c>
      <c r="P142" s="96">
        <f t="shared" si="36"/>
        <v>379.3810710544609</v>
      </c>
      <c r="Q142" s="96">
        <f t="shared" si="37"/>
        <v>282.4175256791537</v>
      </c>
      <c r="R142" s="96">
        <f t="shared" si="43"/>
        <v>51.637508710687385</v>
      </c>
      <c r="S142" s="97">
        <f t="shared" si="44"/>
        <v>-4.2653677072969947</v>
      </c>
      <c r="T142" s="98">
        <f t="shared" si="38"/>
        <v>-19.381071054460904</v>
      </c>
      <c r="U142" s="99">
        <f t="shared" si="39"/>
        <v>77.582474320846302</v>
      </c>
      <c r="V142" s="100">
        <f t="shared" si="40"/>
        <v>-51.637508710687385</v>
      </c>
      <c r="W142" s="100">
        <f t="shared" si="41"/>
        <v>4.2653677072969947</v>
      </c>
      <c r="X142" s="100"/>
      <c r="Y142" s="147"/>
    </row>
    <row r="143" spans="13:25" ht="1" customHeight="1">
      <c r="M143" s="154">
        <f t="shared" si="34"/>
        <v>-32.408735039987803</v>
      </c>
      <c r="N143" s="155">
        <f t="shared" si="42"/>
        <v>-32.408735039987803</v>
      </c>
      <c r="O143" s="156">
        <f t="shared" si="35"/>
        <v>-0.56563913285424328</v>
      </c>
      <c r="P143" s="96">
        <f t="shared" si="36"/>
        <v>379.09137189911223</v>
      </c>
      <c r="Q143" s="96">
        <f t="shared" si="37"/>
        <v>282.70722483450237</v>
      </c>
      <c r="R143" s="96">
        <f t="shared" si="43"/>
        <v>50.991320002756332</v>
      </c>
      <c r="S143" s="97">
        <f t="shared" si="44"/>
        <v>-3.6191789993659391</v>
      </c>
      <c r="T143" s="98">
        <f t="shared" si="38"/>
        <v>-19.091371899112232</v>
      </c>
      <c r="U143" s="99">
        <f t="shared" si="39"/>
        <v>77.29277516549763</v>
      </c>
      <c r="V143" s="100">
        <f t="shared" si="40"/>
        <v>-50.991320002756332</v>
      </c>
      <c r="W143" s="100">
        <f t="shared" si="41"/>
        <v>3.6191789993659391</v>
      </c>
      <c r="X143" s="100"/>
      <c r="Y143" s="147"/>
    </row>
    <row r="144" spans="13:25" ht="1" customHeight="1">
      <c r="M144" s="154">
        <f t="shared" si="34"/>
        <v>-33.012712579148804</v>
      </c>
      <c r="N144" s="155">
        <f t="shared" si="42"/>
        <v>-33.012712579148804</v>
      </c>
      <c r="O144" s="156">
        <f t="shared" si="35"/>
        <v>-0.57618052952069576</v>
      </c>
      <c r="P144" s="96">
        <f t="shared" si="36"/>
        <v>378.79034428015296</v>
      </c>
      <c r="Q144" s="96">
        <f t="shared" si="37"/>
        <v>283.00825245346169</v>
      </c>
      <c r="R144" s="96">
        <f t="shared" si="43"/>
        <v>50.30843937447591</v>
      </c>
      <c r="S144" s="97">
        <f t="shared" si="44"/>
        <v>-2.9362983710855186</v>
      </c>
      <c r="T144" s="98">
        <f t="shared" si="38"/>
        <v>-18.790344280152965</v>
      </c>
      <c r="U144" s="99">
        <f t="shared" si="39"/>
        <v>76.991747546538306</v>
      </c>
      <c r="V144" s="100">
        <f t="shared" si="40"/>
        <v>-50.30843937447591</v>
      </c>
      <c r="W144" s="100">
        <f t="shared" si="41"/>
        <v>2.9362983710855186</v>
      </c>
      <c r="X144" s="100"/>
      <c r="Y144" s="147"/>
    </row>
    <row r="145" spans="13:25" ht="1" customHeight="1">
      <c r="M145" s="154">
        <f t="shared" si="34"/>
        <v>-33.616690118309805</v>
      </c>
      <c r="N145" s="155">
        <f t="shared" si="42"/>
        <v>-33.616690118309805</v>
      </c>
      <c r="O145" s="156">
        <f t="shared" si="35"/>
        <v>-0.58672192618714825</v>
      </c>
      <c r="P145" s="96">
        <f t="shared" si="36"/>
        <v>378.47754349889362</v>
      </c>
      <c r="Q145" s="96">
        <f t="shared" si="37"/>
        <v>283.32105323472103</v>
      </c>
      <c r="R145" s="96">
        <f t="shared" si="43"/>
        <v>49.585461083121622</v>
      </c>
      <c r="S145" s="97">
        <f t="shared" si="44"/>
        <v>-2.2133200797312265</v>
      </c>
      <c r="T145" s="98">
        <f t="shared" si="38"/>
        <v>-18.477543498893624</v>
      </c>
      <c r="U145" s="99">
        <f t="shared" si="39"/>
        <v>76.678946765278965</v>
      </c>
      <c r="V145" s="100">
        <f t="shared" si="40"/>
        <v>-49.585461083121622</v>
      </c>
      <c r="W145" s="100">
        <f t="shared" si="41"/>
        <v>2.2133200797312265</v>
      </c>
      <c r="X145" s="100"/>
      <c r="Y145" s="147"/>
    </row>
    <row r="146" spans="13:25" ht="1" customHeight="1">
      <c r="M146" s="154">
        <f t="shared" si="34"/>
        <v>-34.220667657470806</v>
      </c>
      <c r="N146" s="155">
        <f t="shared" si="42"/>
        <v>-34.220667657470806</v>
      </c>
      <c r="O146" s="156">
        <f t="shared" si="35"/>
        <v>-0.59726332285360062</v>
      </c>
      <c r="P146" s="96">
        <f t="shared" si="36"/>
        <v>378.15249447261982</v>
      </c>
      <c r="Q146" s="96">
        <f t="shared" si="37"/>
        <v>283.64610226099484</v>
      </c>
      <c r="R146" s="96">
        <f t="shared" si="43"/>
        <v>48.818383900085102</v>
      </c>
      <c r="S146" s="97">
        <f t="shared" si="44"/>
        <v>-1.4462428966947094</v>
      </c>
      <c r="T146" s="98">
        <f t="shared" si="38"/>
        <v>-18.152494472619821</v>
      </c>
      <c r="U146" s="99">
        <f t="shared" si="39"/>
        <v>76.353897739005163</v>
      </c>
      <c r="V146" s="100">
        <f t="shared" si="40"/>
        <v>-48.818383900085102</v>
      </c>
      <c r="W146" s="100">
        <f t="shared" si="41"/>
        <v>1.4462428966947094</v>
      </c>
      <c r="X146" s="100"/>
      <c r="Y146" s="147"/>
    </row>
    <row r="147" spans="13:25" ht="1" customHeight="1">
      <c r="M147" s="154">
        <f t="shared" si="34"/>
        <v>-34.824645196631806</v>
      </c>
      <c r="N147" s="155">
        <f t="shared" si="42"/>
        <v>-34.824645196631806</v>
      </c>
      <c r="O147" s="156">
        <f t="shared" si="35"/>
        <v>-0.6078047195200531</v>
      </c>
      <c r="P147" s="96">
        <f t="shared" si="36"/>
        <v>377.81468902508323</v>
      </c>
      <c r="Q147" s="96">
        <f t="shared" si="37"/>
        <v>283.98390770853138</v>
      </c>
      <c r="R147" s="96">
        <f t="shared" si="43"/>
        <v>48.002451758958514</v>
      </c>
      <c r="S147" s="97">
        <f t="shared" si="44"/>
        <v>-0.63031075556812077</v>
      </c>
      <c r="T147" s="98">
        <f t="shared" si="38"/>
        <v>-17.814689025083226</v>
      </c>
      <c r="U147" s="99">
        <f t="shared" si="39"/>
        <v>76.016092291468624</v>
      </c>
      <c r="V147" s="100">
        <f t="shared" si="40"/>
        <v>-48.002451758958514</v>
      </c>
      <c r="W147" s="100">
        <f t="shared" si="41"/>
        <v>0.63031075556812077</v>
      </c>
      <c r="X147" s="100"/>
      <c r="Y147" s="147"/>
    </row>
    <row r="148" spans="13:25" ht="1" customHeight="1">
      <c r="M148" s="154">
        <f t="shared" si="34"/>
        <v>-35.428622735792807</v>
      </c>
      <c r="N148" s="155">
        <f t="shared" si="42"/>
        <v>-35.428622735792807</v>
      </c>
      <c r="O148" s="156">
        <f t="shared" si="35"/>
        <v>-0.61834611618650559</v>
      </c>
      <c r="P148" s="96">
        <f t="shared" si="36"/>
        <v>377.46358285287033</v>
      </c>
      <c r="Q148" s="96">
        <f t="shared" si="37"/>
        <v>284.33501388074433</v>
      </c>
      <c r="R148" s="96">
        <f t="shared" si="43"/>
        <v>47.131934058991511</v>
      </c>
      <c r="S148" s="97">
        <f t="shared" si="44"/>
        <v>0.24020694439888093</v>
      </c>
      <c r="T148" s="98">
        <f t="shared" si="38"/>
        <v>-17.463582852870331</v>
      </c>
      <c r="U148" s="99">
        <f t="shared" si="39"/>
        <v>75.664986119255673</v>
      </c>
      <c r="V148" s="100">
        <f t="shared" si="40"/>
        <v>-47.131934058991511</v>
      </c>
      <c r="W148" s="100">
        <f t="shared" si="41"/>
        <v>-0.24020694439888093</v>
      </c>
      <c r="X148" s="100"/>
      <c r="Y148" s="147"/>
    </row>
    <row r="149" spans="13:25" ht="1" customHeight="1">
      <c r="M149" s="154">
        <f t="shared" si="34"/>
        <v>-36.032600274953808</v>
      </c>
      <c r="N149" s="155">
        <f t="shared" si="42"/>
        <v>-36.032600274953808</v>
      </c>
      <c r="O149" s="156">
        <f t="shared" si="35"/>
        <v>-0.62888751285295807</v>
      </c>
      <c r="P149" s="96">
        <f t="shared" si="36"/>
        <v>377.09859211886027</v>
      </c>
      <c r="Q149" s="96">
        <f t="shared" si="37"/>
        <v>284.70000461475439</v>
      </c>
      <c r="R149" s="96">
        <f t="shared" si="43"/>
        <v>46.199814890285502</v>
      </c>
      <c r="S149" s="97">
        <f t="shared" si="44"/>
        <v>1.1723261131048905</v>
      </c>
      <c r="T149" s="98">
        <f t="shared" si="38"/>
        <v>-17.098592118860267</v>
      </c>
      <c r="U149" s="99">
        <f t="shared" si="39"/>
        <v>75.299995385245609</v>
      </c>
      <c r="V149" s="100">
        <f t="shared" si="40"/>
        <v>-46.199814890285502</v>
      </c>
      <c r="W149" s="100">
        <f t="shared" si="41"/>
        <v>-1.1723261131048905</v>
      </c>
      <c r="X149" s="100"/>
      <c r="Y149" s="147"/>
    </row>
    <row r="150" spans="13:25" ht="1" customHeight="1">
      <c r="M150" s="154">
        <f t="shared" si="34"/>
        <v>-36.636577814114808</v>
      </c>
      <c r="N150" s="155">
        <f t="shared" si="42"/>
        <v>-36.636577814114808</v>
      </c>
      <c r="O150" s="156">
        <f t="shared" si="35"/>
        <v>-0.63942890951941045</v>
      </c>
      <c r="P150" s="96">
        <f t="shared" si="36"/>
        <v>376.71908961496558</v>
      </c>
      <c r="Q150" s="96">
        <f t="shared" si="37"/>
        <v>285.07950711864902</v>
      </c>
      <c r="R150" s="96">
        <f t="shared" si="43"/>
        <v>45.197339959984411</v>
      </c>
      <c r="S150" s="97">
        <f t="shared" si="44"/>
        <v>2.1748010434059779</v>
      </c>
      <c r="T150" s="98">
        <f t="shared" si="38"/>
        <v>-16.719089614965583</v>
      </c>
      <c r="U150" s="99">
        <f t="shared" si="39"/>
        <v>74.920492881350981</v>
      </c>
      <c r="V150" s="100">
        <f t="shared" si="40"/>
        <v>-45.197339959984411</v>
      </c>
      <c r="W150" s="100">
        <f t="shared" si="41"/>
        <v>-2.1748010434059779</v>
      </c>
      <c r="X150" s="100"/>
      <c r="Y150" s="147"/>
    </row>
    <row r="151" spans="13:25" ht="1" customHeight="1">
      <c r="M151" s="154">
        <f t="shared" si="34"/>
        <v>-37.240555353275809</v>
      </c>
      <c r="N151" s="155">
        <f t="shared" si="42"/>
        <v>-37.240555353275809</v>
      </c>
      <c r="O151" s="156">
        <f t="shared" si="35"/>
        <v>-0.64997030618586293</v>
      </c>
      <c r="P151" s="96">
        <f t="shared" si="36"/>
        <v>376.32440042534739</v>
      </c>
      <c r="Q151" s="96">
        <f t="shared" si="37"/>
        <v>285.47419630826727</v>
      </c>
      <c r="R151" s="96">
        <f t="shared" si="43"/>
        <v>44.113331886410315</v>
      </c>
      <c r="S151" s="97">
        <f t="shared" si="44"/>
        <v>3.2588091169800748</v>
      </c>
      <c r="T151" s="98">
        <f t="shared" si="38"/>
        <v>-16.324400425347392</v>
      </c>
      <c r="U151" s="99">
        <f t="shared" si="39"/>
        <v>74.525803691732733</v>
      </c>
      <c r="V151" s="100">
        <f t="shared" si="40"/>
        <v>-44.113331886410315</v>
      </c>
      <c r="W151" s="100">
        <f t="shared" si="41"/>
        <v>-3.2588091169800748</v>
      </c>
      <c r="X151" s="100"/>
      <c r="Y151" s="147"/>
    </row>
    <row r="152" spans="13:25" ht="1" customHeight="1">
      <c r="M152" s="154">
        <f t="shared" si="34"/>
        <v>-37.84453289243681</v>
      </c>
      <c r="N152" s="155">
        <f t="shared" si="42"/>
        <v>-37.84453289243681</v>
      </c>
      <c r="O152" s="156">
        <f t="shared" si="35"/>
        <v>-0.66051170285231542</v>
      </c>
      <c r="P152" s="96">
        <f t="shared" si="36"/>
        <v>375.91379700778026</v>
      </c>
      <c r="Q152" s="96">
        <f t="shared" si="37"/>
        <v>285.8847997258344</v>
      </c>
      <c r="R152" s="96">
        <f t="shared" si="43"/>
        <v>42.933109310471096</v>
      </c>
      <c r="S152" s="97">
        <f t="shared" si="44"/>
        <v>4.4390316929192961</v>
      </c>
      <c r="T152" s="98">
        <f t="shared" si="38"/>
        <v>-15.913797007780261</v>
      </c>
      <c r="U152" s="99">
        <f t="shared" si="39"/>
        <v>74.115200274165602</v>
      </c>
      <c r="V152" s="100">
        <f t="shared" si="40"/>
        <v>-42.933109310471096</v>
      </c>
      <c r="W152" s="100">
        <f t="shared" si="41"/>
        <v>-4.4390316929192961</v>
      </c>
      <c r="X152" s="100"/>
      <c r="Y152" s="147"/>
    </row>
    <row r="153" spans="13:25" ht="1" customHeight="1">
      <c r="M153" s="154">
        <f t="shared" si="34"/>
        <v>-38.448510431597811</v>
      </c>
      <c r="N153" s="155">
        <f t="shared" si="42"/>
        <v>-38.448510431597811</v>
      </c>
      <c r="O153" s="156">
        <f t="shared" si="35"/>
        <v>-0.67105309951876779</v>
      </c>
      <c r="P153" s="96">
        <f t="shared" si="36"/>
        <v>375.48649359415526</v>
      </c>
      <c r="Q153" s="96">
        <f t="shared" si="37"/>
        <v>286.3121031394594</v>
      </c>
      <c r="R153" s="96">
        <f t="shared" si="43"/>
        <v>41.636685705860742</v>
      </c>
      <c r="S153" s="97">
        <f t="shared" si="44"/>
        <v>5.7354552975296489</v>
      </c>
      <c r="T153" s="98">
        <f t="shared" si="38"/>
        <v>-15.486493594155263</v>
      </c>
      <c r="U153" s="99">
        <f t="shared" si="39"/>
        <v>73.687896860540604</v>
      </c>
      <c r="V153" s="100">
        <f t="shared" si="40"/>
        <v>-41.636685705860742</v>
      </c>
      <c r="W153" s="100">
        <f t="shared" si="41"/>
        <v>-5.7354552975296489</v>
      </c>
      <c r="X153" s="100"/>
      <c r="Y153" s="147"/>
    </row>
    <row r="154" spans="13:25" ht="1" customHeight="1">
      <c r="M154" s="154">
        <f t="shared" si="34"/>
        <v>-39.052487970758811</v>
      </c>
      <c r="N154" s="155">
        <f t="shared" si="42"/>
        <v>-39.052487970758811</v>
      </c>
      <c r="O154" s="156">
        <f t="shared" si="35"/>
        <v>-0.68159449618522028</v>
      </c>
      <c r="P154" s="96">
        <f t="shared" si="36"/>
        <v>375.04163979035701</v>
      </c>
      <c r="Q154" s="96">
        <f t="shared" si="37"/>
        <v>286.75695694325759</v>
      </c>
      <c r="R154" s="96">
        <f t="shared" si="43"/>
        <v>40.19555314718442</v>
      </c>
      <c r="S154" s="97">
        <f t="shared" si="44"/>
        <v>7.1765878562059706</v>
      </c>
      <c r="T154" s="98">
        <f t="shared" si="38"/>
        <v>-15.04163979035701</v>
      </c>
      <c r="U154" s="99">
        <f t="shared" si="39"/>
        <v>73.243043056742408</v>
      </c>
      <c r="V154" s="100">
        <f t="shared" si="40"/>
        <v>-40.19555314718442</v>
      </c>
      <c r="W154" s="100">
        <f t="shared" si="41"/>
        <v>-7.1765878562059706</v>
      </c>
      <c r="X154" s="100"/>
      <c r="Y154" s="147"/>
    </row>
    <row r="155" spans="13:25" ht="1" customHeight="1">
      <c r="M155" s="154">
        <f t="shared" si="34"/>
        <v>-39.656465509919812</v>
      </c>
      <c r="N155" s="155">
        <f t="shared" si="42"/>
        <v>-39.656465509919812</v>
      </c>
      <c r="O155" s="156">
        <f t="shared" si="35"/>
        <v>-0.69213589285167276</v>
      </c>
      <c r="P155" s="96">
        <f t="shared" si="36"/>
        <v>374.57831322978814</v>
      </c>
      <c r="Q155" s="96">
        <f t="shared" si="37"/>
        <v>287.22028350382652</v>
      </c>
      <c r="R155" s="96">
        <f t="shared" si="43"/>
        <v>38.566387830207283</v>
      </c>
      <c r="S155" s="97">
        <f t="shared" si="44"/>
        <v>8.8057531731831098</v>
      </c>
      <c r="T155" s="98">
        <f t="shared" si="38"/>
        <v>-14.578313229788137</v>
      </c>
      <c r="U155" s="99">
        <f t="shared" si="39"/>
        <v>72.779716496173478</v>
      </c>
      <c r="V155" s="100">
        <f t="shared" si="40"/>
        <v>-38.566387830207283</v>
      </c>
      <c r="W155" s="100">
        <f t="shared" si="41"/>
        <v>-8.8057531731831098</v>
      </c>
      <c r="X155" s="100"/>
      <c r="Y155" s="147"/>
    </row>
    <row r="156" spans="13:25" ht="1" customHeight="1">
      <c r="M156" s="154">
        <f t="shared" si="34"/>
        <v>-40.260443049080813</v>
      </c>
      <c r="N156" s="155">
        <f t="shared" si="42"/>
        <v>-40.260443049080813</v>
      </c>
      <c r="O156" s="156">
        <f t="shared" si="35"/>
        <v>-0.70267728951812525</v>
      </c>
      <c r="P156" s="96">
        <f t="shared" si="36"/>
        <v>374.0955111020815</v>
      </c>
      <c r="Q156" s="96">
        <f t="shared" si="37"/>
        <v>287.7030856315331</v>
      </c>
      <c r="R156" s="96">
        <f t="shared" si="43"/>
        <v>36.677040896213079</v>
      </c>
      <c r="S156" s="97">
        <f t="shared" si="44"/>
        <v>10.695100107177311</v>
      </c>
      <c r="T156" s="98">
        <f t="shared" si="38"/>
        <v>-14.095511102081502</v>
      </c>
      <c r="U156" s="99">
        <f t="shared" si="39"/>
        <v>72.296914368466901</v>
      </c>
      <c r="V156" s="100">
        <f t="shared" si="40"/>
        <v>-36.677040896213079</v>
      </c>
      <c r="W156" s="100">
        <f t="shared" si="41"/>
        <v>-10.695100107177311</v>
      </c>
      <c r="X156" s="100"/>
      <c r="Y156" s="147"/>
    </row>
    <row r="157" spans="13:25" ht="1" customHeight="1">
      <c r="M157" s="154">
        <f t="shared" si="34"/>
        <v>-40.864420588241813</v>
      </c>
      <c r="N157" s="155">
        <f t="shared" si="42"/>
        <v>-40.864420588241813</v>
      </c>
      <c r="O157" s="156">
        <f t="shared" si="35"/>
        <v>-0.71321868618457762</v>
      </c>
      <c r="P157" s="96">
        <f t="shared" si="36"/>
        <v>373.59214033697145</v>
      </c>
      <c r="Q157" s="96">
        <f t="shared" si="37"/>
        <v>288.20645639664315</v>
      </c>
      <c r="R157" s="96">
        <f t="shared" si="43"/>
        <v>34.388582768854647</v>
      </c>
      <c r="S157" s="97">
        <f t="shared" si="44"/>
        <v>12.983558234535748</v>
      </c>
      <c r="T157" s="98">
        <f t="shared" si="38"/>
        <v>-13.592140336971454</v>
      </c>
      <c r="U157" s="99">
        <f t="shared" si="39"/>
        <v>71.793543603356852</v>
      </c>
      <c r="V157" s="100">
        <f t="shared" si="40"/>
        <v>-34.388582768854647</v>
      </c>
      <c r="W157" s="100">
        <f t="shared" si="41"/>
        <v>-12.983558234535748</v>
      </c>
      <c r="X157" s="100"/>
      <c r="Y157" s="147"/>
    </row>
    <row r="158" spans="13:25" ht="1" customHeight="1">
      <c r="M158" s="154">
        <f t="shared" si="34"/>
        <v>-41.468398127402814</v>
      </c>
      <c r="N158" s="155">
        <f t="shared" si="42"/>
        <v>-41.468398127402814</v>
      </c>
      <c r="O158" s="156">
        <f t="shared" si="35"/>
        <v>-0.72376008285103011</v>
      </c>
      <c r="P158" s="96">
        <f t="shared" si="36"/>
        <v>373.06700617005606</v>
      </c>
      <c r="Q158" s="96">
        <f t="shared" si="37"/>
        <v>288.73159056355854</v>
      </c>
      <c r="R158" s="96">
        <f t="shared" si="43"/>
        <v>31.348548009301627</v>
      </c>
      <c r="S158" s="97">
        <f t="shared" si="44"/>
        <v>16.023592994088766</v>
      </c>
      <c r="T158" s="98">
        <f t="shared" si="38"/>
        <v>-13.067006170056061</v>
      </c>
      <c r="U158" s="99">
        <f t="shared" si="39"/>
        <v>71.268409436441459</v>
      </c>
      <c r="V158" s="100">
        <f t="shared" si="40"/>
        <v>-31.348548009301627</v>
      </c>
      <c r="W158" s="100">
        <f t="shared" si="41"/>
        <v>-16.023592994088766</v>
      </c>
      <c r="X158" s="100"/>
      <c r="Y158" s="147"/>
    </row>
    <row r="159" spans="13:25" ht="1" customHeight="1">
      <c r="M159" s="154">
        <f t="shared" si="34"/>
        <v>-42.072375666563815</v>
      </c>
      <c r="N159" s="155">
        <f t="shared" si="42"/>
        <v>-42.072375666563815</v>
      </c>
      <c r="O159" s="156">
        <f t="shared" si="35"/>
        <v>-0.73430147951748259</v>
      </c>
      <c r="P159" s="96">
        <f t="shared" si="36"/>
        <v>372.51879874841842</v>
      </c>
      <c r="Q159" s="96">
        <f t="shared" si="37"/>
        <v>289.27979798519618</v>
      </c>
      <c r="R159" s="96">
        <f t="shared" si="43"/>
        <v>24.793737354731476</v>
      </c>
      <c r="S159" s="97">
        <f t="shared" si="44"/>
        <v>22.578403648658917</v>
      </c>
      <c r="T159" s="98">
        <f t="shared" si="38"/>
        <v>-12.518798748418419</v>
      </c>
      <c r="U159" s="99">
        <f t="shared" si="39"/>
        <v>70.720202014803817</v>
      </c>
      <c r="V159" s="100">
        <f t="shared" si="40"/>
        <v>-24.793737354731476</v>
      </c>
      <c r="W159" s="100">
        <f t="shared" si="41"/>
        <v>-22.578403648658917</v>
      </c>
      <c r="X159" s="100"/>
      <c r="Y159" s="147"/>
    </row>
    <row r="160" spans="13:25" ht="1" customHeight="1">
      <c r="M160" s="154">
        <f t="shared" si="34"/>
        <v>-42.676353205724816</v>
      </c>
      <c r="N160" s="155">
        <f t="shared" si="42"/>
        <v>-42.676353205724816</v>
      </c>
      <c r="O160" s="156">
        <f t="shared" si="35"/>
        <v>-0.74484287618393497</v>
      </c>
      <c r="P160" s="96">
        <f t="shared" si="36"/>
        <v>371.9460773444041</v>
      </c>
      <c r="Q160" s="96">
        <f t="shared" si="37"/>
        <v>289.85251938921056</v>
      </c>
      <c r="R160" s="96" t="e">
        <f t="shared" si="43"/>
        <v>#N/A</v>
      </c>
      <c r="S160" s="97" t="e">
        <f t="shared" si="44"/>
        <v>#N/A</v>
      </c>
      <c r="T160" s="98">
        <f t="shared" si="38"/>
        <v>-11.946077344404102</v>
      </c>
      <c r="U160" s="99">
        <f t="shared" si="39"/>
        <v>70.147480610789444</v>
      </c>
      <c r="V160" s="100" t="e">
        <f t="shared" si="40"/>
        <v>#N/A</v>
      </c>
      <c r="W160" s="100" t="e">
        <f t="shared" si="41"/>
        <v>#N/A</v>
      </c>
      <c r="X160" s="100"/>
      <c r="Y160" s="147"/>
    </row>
    <row r="161" spans="13:25" ht="1" customHeight="1">
      <c r="M161" s="154">
        <f t="shared" si="34"/>
        <v>-43.280330744885816</v>
      </c>
      <c r="N161" s="155">
        <f t="shared" si="42"/>
        <v>-43.280330744885816</v>
      </c>
      <c r="O161" s="156">
        <f t="shared" si="35"/>
        <v>-0.75538427285038745</v>
      </c>
      <c r="P161" s="96">
        <f t="shared" si="36"/>
        <v>371.34725162775709</v>
      </c>
      <c r="Q161" s="96">
        <f t="shared" si="37"/>
        <v>290.45134510585757</v>
      </c>
      <c r="R161" s="96" t="e">
        <f t="shared" si="43"/>
        <v>#N/A</v>
      </c>
      <c r="S161" s="97" t="e">
        <f t="shared" si="44"/>
        <v>#N/A</v>
      </c>
      <c r="T161" s="98">
        <f t="shared" si="38"/>
        <v>-11.347251627757089</v>
      </c>
      <c r="U161" s="99">
        <f t="shared" si="39"/>
        <v>69.54865489414243</v>
      </c>
      <c r="V161" s="100" t="e">
        <f t="shared" si="40"/>
        <v>#N/A</v>
      </c>
      <c r="W161" s="100" t="e">
        <f t="shared" si="41"/>
        <v>#N/A</v>
      </c>
      <c r="X161" s="100"/>
      <c r="Y161" s="147"/>
    </row>
    <row r="162" spans="13:25" ht="1" customHeight="1">
      <c r="M162" s="154">
        <f t="shared" si="34"/>
        <v>-43.884308284046817</v>
      </c>
      <c r="N162" s="155">
        <f t="shared" si="42"/>
        <v>-43.884308284046817</v>
      </c>
      <c r="O162" s="156">
        <f t="shared" si="35"/>
        <v>-0.76592566951683994</v>
      </c>
      <c r="P162" s="96">
        <f t="shared" si="36"/>
        <v>370.72055928907145</v>
      </c>
      <c r="Q162" s="96">
        <f t="shared" si="37"/>
        <v>291.07803744454321</v>
      </c>
      <c r="R162" s="96" t="e">
        <f t="shared" si="43"/>
        <v>#N/A</v>
      </c>
      <c r="S162" s="97" t="e">
        <f t="shared" si="44"/>
        <v>#N/A</v>
      </c>
      <c r="T162" s="98">
        <f t="shared" si="38"/>
        <v>-10.720559289071446</v>
      </c>
      <c r="U162" s="99">
        <f t="shared" si="39"/>
        <v>68.921962555456787</v>
      </c>
      <c r="V162" s="100" t="e">
        <f t="shared" si="40"/>
        <v>#N/A</v>
      </c>
      <c r="W162" s="100" t="e">
        <f t="shared" si="41"/>
        <v>#N/A</v>
      </c>
      <c r="X162" s="100"/>
      <c r="Y162" s="147"/>
    </row>
    <row r="163" spans="13:25" ht="1" customHeight="1">
      <c r="M163" s="154">
        <f t="shared" si="34"/>
        <v>-44.488285823207818</v>
      </c>
      <c r="N163" s="155">
        <f t="shared" si="42"/>
        <v>-44.488285823207818</v>
      </c>
      <c r="O163" s="156">
        <f t="shared" si="35"/>
        <v>-0.77646706618329231</v>
      </c>
      <c r="P163" s="96">
        <f t="shared" si="36"/>
        <v>370.0640390956911</v>
      </c>
      <c r="Q163" s="96">
        <f t="shared" si="37"/>
        <v>291.73455763792356</v>
      </c>
      <c r="R163" s="96" t="e">
        <f t="shared" si="43"/>
        <v>#N/A</v>
      </c>
      <c r="S163" s="97" t="e">
        <f t="shared" si="44"/>
        <v>#N/A</v>
      </c>
      <c r="T163" s="98">
        <f t="shared" si="38"/>
        <v>-10.064039095691101</v>
      </c>
      <c r="U163" s="99">
        <f t="shared" si="39"/>
        <v>68.265442362076442</v>
      </c>
      <c r="V163" s="100" t="e">
        <f t="shared" si="40"/>
        <v>#N/A</v>
      </c>
      <c r="W163" s="100" t="e">
        <f t="shared" si="41"/>
        <v>#N/A</v>
      </c>
      <c r="X163" s="100"/>
      <c r="Y163" s="147"/>
    </row>
    <row r="164" spans="13:25" ht="1" customHeight="1">
      <c r="M164" s="154">
        <f t="shared" si="34"/>
        <v>-45.092263362368818</v>
      </c>
      <c r="N164" s="155">
        <f t="shared" si="42"/>
        <v>-45.092263362368818</v>
      </c>
      <c r="O164" s="156">
        <f t="shared" si="35"/>
        <v>-0.78700846284974479</v>
      </c>
      <c r="P164" s="96">
        <f t="shared" si="36"/>
        <v>369.37549817217598</v>
      </c>
      <c r="Q164" s="96">
        <f t="shared" si="37"/>
        <v>292.42309856143868</v>
      </c>
      <c r="R164" s="96" t="e">
        <f t="shared" si="43"/>
        <v>#N/A</v>
      </c>
      <c r="S164" s="97" t="e">
        <f t="shared" si="44"/>
        <v>#N/A</v>
      </c>
      <c r="T164" s="98">
        <f t="shared" si="38"/>
        <v>-9.3754981721759805</v>
      </c>
      <c r="U164" s="99">
        <f t="shared" si="39"/>
        <v>67.576901438561322</v>
      </c>
      <c r="V164" s="100" t="e">
        <f t="shared" si="40"/>
        <v>#N/A</v>
      </c>
      <c r="W164" s="100" t="e">
        <f t="shared" si="41"/>
        <v>#N/A</v>
      </c>
      <c r="X164" s="100"/>
      <c r="Y164" s="147"/>
    </row>
    <row r="165" spans="13:25" ht="1" customHeight="1">
      <c r="M165" s="154">
        <f t="shared" si="34"/>
        <v>-45.696240901529819</v>
      </c>
      <c r="N165" s="155">
        <f t="shared" si="42"/>
        <v>-45.696240901529819</v>
      </c>
      <c r="O165" s="156">
        <f t="shared" si="35"/>
        <v>-0.79754985951619728</v>
      </c>
      <c r="P165" s="96">
        <f t="shared" si="36"/>
        <v>368.65247189762744</v>
      </c>
      <c r="Q165" s="96">
        <f t="shared" si="37"/>
        <v>293.14612483598722</v>
      </c>
      <c r="R165" s="96" t="e">
        <f t="shared" ref="R165:R190" si="45">IFERROR(DEGREES(grt_+ACOS((SIN(h_)-SIN(d_)*SIN(O165))/COS(d_)/COS(O165))),#N/A)</f>
        <v>#N/A</v>
      </c>
      <c r="S165" s="97" t="e">
        <f t="shared" ref="S165:S190" si="46">IFERROR(DEGREES(grt_-ACOS((SIN(h_)-SIN(d_)*SIN(O165))/COS(d_)/COS(O165))),#N/A)</f>
        <v>#N/A</v>
      </c>
      <c r="T165" s="98">
        <f t="shared" si="38"/>
        <v>-8.6524718976274357</v>
      </c>
      <c r="U165" s="99">
        <f t="shared" si="39"/>
        <v>66.853875164012777</v>
      </c>
      <c r="V165" s="100" t="e">
        <f t="shared" si="40"/>
        <v>#N/A</v>
      </c>
      <c r="W165" s="100" t="e">
        <f t="shared" si="41"/>
        <v>#N/A</v>
      </c>
      <c r="X165" s="100"/>
      <c r="Y165" s="147"/>
    </row>
    <row r="166" spans="13:25" ht="1" customHeight="1">
      <c r="M166" s="154">
        <f t="shared" si="34"/>
        <v>-46.30021844069082</v>
      </c>
      <c r="N166" s="155">
        <f t="shared" si="42"/>
        <v>-46.30021844069082</v>
      </c>
      <c r="O166" s="156">
        <f t="shared" si="35"/>
        <v>-0.80809125618264976</v>
      </c>
      <c r="P166" s="96">
        <f t="shared" si="36"/>
        <v>367.89217425060178</v>
      </c>
      <c r="Q166" s="96">
        <f t="shared" si="37"/>
        <v>293.90642248301288</v>
      </c>
      <c r="R166" s="96" t="e">
        <f t="shared" si="45"/>
        <v>#N/A</v>
      </c>
      <c r="S166" s="97" t="e">
        <f t="shared" si="46"/>
        <v>#N/A</v>
      </c>
      <c r="T166" s="98">
        <f t="shared" si="38"/>
        <v>-7.8921742506017836</v>
      </c>
      <c r="U166" s="99">
        <f t="shared" si="39"/>
        <v>66.093577516987125</v>
      </c>
      <c r="V166" s="100" t="e">
        <f t="shared" si="40"/>
        <v>#N/A</v>
      </c>
      <c r="W166" s="100" t="e">
        <f t="shared" si="41"/>
        <v>#N/A</v>
      </c>
      <c r="X166" s="100"/>
      <c r="Y166" s="147"/>
    </row>
    <row r="167" spans="13:25" ht="1" customHeight="1">
      <c r="M167" s="154">
        <f t="shared" si="34"/>
        <v>-46.904195979851821</v>
      </c>
      <c r="N167" s="155">
        <f t="shared" si="42"/>
        <v>-46.904195979851821</v>
      </c>
      <c r="O167" s="156">
        <f t="shared" si="35"/>
        <v>-0.81863265284910214</v>
      </c>
      <c r="P167" s="96">
        <f t="shared" si="36"/>
        <v>367.0914356303972</v>
      </c>
      <c r="Q167" s="96">
        <f t="shared" si="37"/>
        <v>294.70716110321746</v>
      </c>
      <c r="R167" s="96" t="e">
        <f t="shared" si="45"/>
        <v>#N/A</v>
      </c>
      <c r="S167" s="97" t="e">
        <f t="shared" si="46"/>
        <v>#N/A</v>
      </c>
      <c r="T167" s="98">
        <f t="shared" si="38"/>
        <v>-7.0914356303971999</v>
      </c>
      <c r="U167" s="99">
        <f t="shared" si="39"/>
        <v>65.292838896782541</v>
      </c>
      <c r="V167" s="100" t="e">
        <f t="shared" si="40"/>
        <v>#N/A</v>
      </c>
      <c r="W167" s="100" t="e">
        <f t="shared" si="41"/>
        <v>#N/A</v>
      </c>
      <c r="X167" s="100"/>
      <c r="Y167" s="147"/>
    </row>
    <row r="168" spans="13:25" ht="1" customHeight="1">
      <c r="M168" s="154">
        <f t="shared" si="34"/>
        <v>-47.508173519012821</v>
      </c>
      <c r="N168" s="155">
        <f t="shared" si="42"/>
        <v>-47.508173519012821</v>
      </c>
      <c r="O168" s="156">
        <f t="shared" si="35"/>
        <v>-0.82917404951555462</v>
      </c>
      <c r="P168" s="96">
        <f t="shared" si="36"/>
        <v>366.24662401708338</v>
      </c>
      <c r="Q168" s="96">
        <f t="shared" si="37"/>
        <v>295.55197271653122</v>
      </c>
      <c r="R168" s="96" t="e">
        <f t="shared" si="45"/>
        <v>#N/A</v>
      </c>
      <c r="S168" s="97" t="e">
        <f t="shared" si="46"/>
        <v>#N/A</v>
      </c>
      <c r="T168" s="98">
        <f t="shared" si="38"/>
        <v>-6.2466240170833771</v>
      </c>
      <c r="U168" s="99">
        <f t="shared" si="39"/>
        <v>64.448027283468775</v>
      </c>
      <c r="V168" s="100" t="e">
        <f t="shared" si="40"/>
        <v>#N/A</v>
      </c>
      <c r="W168" s="100" t="e">
        <f t="shared" si="41"/>
        <v>#N/A</v>
      </c>
      <c r="X168" s="100"/>
      <c r="Y168" s="147"/>
    </row>
    <row r="169" spans="13:25" ht="1" customHeight="1">
      <c r="M169" s="154">
        <f t="shared" si="34"/>
        <v>-48.112151058173822</v>
      </c>
      <c r="N169" s="155">
        <f t="shared" si="42"/>
        <v>-48.112151058173822</v>
      </c>
      <c r="O169" s="156">
        <f t="shared" si="35"/>
        <v>-0.83971544618200711</v>
      </c>
      <c r="P169" s="96">
        <f t="shared" si="36"/>
        <v>365.3535436012595</v>
      </c>
      <c r="Q169" s="96">
        <f t="shared" si="37"/>
        <v>296.44505313235516</v>
      </c>
      <c r="R169" s="96" t="e">
        <f t="shared" si="45"/>
        <v>#N/A</v>
      </c>
      <c r="S169" s="97" t="e">
        <f t="shared" si="46"/>
        <v>#N/A</v>
      </c>
      <c r="T169" s="98">
        <f t="shared" si="38"/>
        <v>-5.3535436012595028</v>
      </c>
      <c r="U169" s="99">
        <f t="shared" si="39"/>
        <v>63.554946867644844</v>
      </c>
      <c r="V169" s="100" t="e">
        <f t="shared" si="40"/>
        <v>#N/A</v>
      </c>
      <c r="W169" s="100" t="e">
        <f t="shared" si="41"/>
        <v>#N/A</v>
      </c>
      <c r="X169" s="100"/>
      <c r="Y169" s="147"/>
    </row>
    <row r="170" spans="13:25" ht="1" customHeight="1">
      <c r="M170" s="154">
        <f t="shared" si="34"/>
        <v>-48.716128597334823</v>
      </c>
      <c r="N170" s="155">
        <f t="shared" si="42"/>
        <v>-48.716128597334823</v>
      </c>
      <c r="O170" s="156">
        <f t="shared" si="35"/>
        <v>-0.85025684284845948</v>
      </c>
      <c r="P170" s="96">
        <f t="shared" si="36"/>
        <v>364.40730238556904</v>
      </c>
      <c r="Q170" s="96">
        <f t="shared" si="37"/>
        <v>297.39129434804562</v>
      </c>
      <c r="R170" s="96" t="e">
        <f t="shared" si="45"/>
        <v>#N/A</v>
      </c>
      <c r="S170" s="97" t="e">
        <f t="shared" si="46"/>
        <v>#N/A</v>
      </c>
      <c r="T170" s="98">
        <f t="shared" si="38"/>
        <v>-4.4073023855690394</v>
      </c>
      <c r="U170" s="99">
        <f t="shared" si="39"/>
        <v>62.608705651954381</v>
      </c>
      <c r="V170" s="100" t="e">
        <f t="shared" si="40"/>
        <v>#N/A</v>
      </c>
      <c r="W170" s="100" t="e">
        <f t="shared" si="41"/>
        <v>#N/A</v>
      </c>
      <c r="X170" s="100"/>
      <c r="Y170" s="147"/>
    </row>
    <row r="171" spans="13:25" ht="1" customHeight="1">
      <c r="M171" s="154">
        <f t="shared" si="34"/>
        <v>-49.320106136495824</v>
      </c>
      <c r="N171" s="155">
        <f t="shared" si="42"/>
        <v>-49.320106136495824</v>
      </c>
      <c r="O171" s="156">
        <f t="shared" si="35"/>
        <v>-0.86079823951491197</v>
      </c>
      <c r="P171" s="96">
        <f t="shared" si="36"/>
        <v>363.40213616513955</v>
      </c>
      <c r="Q171" s="96">
        <f t="shared" si="37"/>
        <v>298.39646056847505</v>
      </c>
      <c r="R171" s="96" t="e">
        <f t="shared" si="45"/>
        <v>#N/A</v>
      </c>
      <c r="S171" s="97" t="e">
        <f t="shared" si="46"/>
        <v>#N/A</v>
      </c>
      <c r="T171" s="98">
        <f t="shared" si="38"/>
        <v>-3.4021361651395523</v>
      </c>
      <c r="U171" s="99">
        <f t="shared" si="39"/>
        <v>61.60353943152495</v>
      </c>
      <c r="V171" s="100" t="e">
        <f t="shared" si="40"/>
        <v>#N/A</v>
      </c>
      <c r="W171" s="100" t="e">
        <f t="shared" si="41"/>
        <v>#N/A</v>
      </c>
      <c r="X171" s="100"/>
      <c r="Y171" s="147"/>
    </row>
    <row r="172" spans="13:25" ht="1" customHeight="1">
      <c r="M172" s="154">
        <f t="shared" si="34"/>
        <v>-49.924083675656824</v>
      </c>
      <c r="N172" s="155">
        <f t="shared" si="42"/>
        <v>-49.924083675656824</v>
      </c>
      <c r="O172" s="156">
        <f t="shared" si="35"/>
        <v>-0.87133963618136445</v>
      </c>
      <c r="P172" s="96">
        <f t="shared" si="36"/>
        <v>362.33116972941133</v>
      </c>
      <c r="Q172" s="96">
        <f t="shared" si="37"/>
        <v>299.46742700420327</v>
      </c>
      <c r="R172" s="96" t="e">
        <f t="shared" si="45"/>
        <v>#N/A</v>
      </c>
      <c r="S172" s="97" t="e">
        <f t="shared" si="46"/>
        <v>#N/A</v>
      </c>
      <c r="T172" s="98">
        <f t="shared" si="38"/>
        <v>-2.3311697294113287</v>
      </c>
      <c r="U172" s="99">
        <f t="shared" si="39"/>
        <v>60.532572995796727</v>
      </c>
      <c r="V172" s="100" t="e">
        <f t="shared" si="40"/>
        <v>#N/A</v>
      </c>
      <c r="W172" s="100" t="e">
        <f t="shared" si="41"/>
        <v>#N/A</v>
      </c>
      <c r="X172" s="100"/>
      <c r="Y172" s="147"/>
    </row>
    <row r="173" spans="13:25" ht="1" customHeight="1">
      <c r="M173" s="154">
        <f t="shared" si="34"/>
        <v>-50.528061214817825</v>
      </c>
      <c r="N173" s="155">
        <f t="shared" si="42"/>
        <v>-50.528061214817825</v>
      </c>
      <c r="O173" s="156">
        <f t="shared" si="35"/>
        <v>-0.88188103284781694</v>
      </c>
      <c r="P173" s="96">
        <f t="shared" si="36"/>
        <v>361.18608525137785</v>
      </c>
      <c r="Q173" s="96">
        <f t="shared" si="37"/>
        <v>300.61251148223676</v>
      </c>
      <c r="R173" s="96" t="e">
        <f t="shared" si="45"/>
        <v>#N/A</v>
      </c>
      <c r="S173" s="97" t="e">
        <f t="shared" si="46"/>
        <v>#N/A</v>
      </c>
      <c r="T173" s="98">
        <f t="shared" si="38"/>
        <v>-1.1860852513778468</v>
      </c>
      <c r="U173" s="99">
        <f t="shared" si="39"/>
        <v>59.387488517763245</v>
      </c>
      <c r="V173" s="100" t="e">
        <f t="shared" si="40"/>
        <v>#N/A</v>
      </c>
      <c r="W173" s="100" t="e">
        <f t="shared" si="41"/>
        <v>#N/A</v>
      </c>
      <c r="X173" s="100"/>
      <c r="Y173" s="147"/>
    </row>
    <row r="174" spans="13:25" ht="1" customHeight="1">
      <c r="M174" s="154">
        <f t="shared" ref="M174:M190" si="47">IF(N174&gt;maxn,maxn,IF(N174&lt;mins,mins,N174))</f>
        <v>-51.132038753978826</v>
      </c>
      <c r="N174" s="155">
        <f t="shared" si="42"/>
        <v>-51.132038753978826</v>
      </c>
      <c r="O174" s="156">
        <f t="shared" ref="O174:O190" si="48">RADIANS(M174)</f>
        <v>-0.89242242951426931</v>
      </c>
      <c r="P174" s="96">
        <f t="shared" ref="P174:P190" si="49">IFERROR(DEGREES(grt+ACOS((SIN(h)-SIN(d)*SIN(O174))/COS(d)/COS(O174))),#N/A)</f>
        <v>359.95664911285809</v>
      </c>
      <c r="Q174" s="96">
        <f t="shared" ref="Q174:Q190" si="50">IFERROR(DEGREES(grt-ACOS((SIN(h)-SIN(d)*SIN(O174))/COS(d)/COS(O174))),#N/A)</f>
        <v>301.84194762075651</v>
      </c>
      <c r="R174" s="96" t="e">
        <f t="shared" si="45"/>
        <v>#N/A</v>
      </c>
      <c r="S174" s="97" t="e">
        <f t="shared" si="46"/>
        <v>#N/A</v>
      </c>
      <c r="T174" s="98">
        <f t="shared" ref="T174:T190" si="51">IF(P174&lt;0,ABS(P174),IF(P174&gt;360,-(P174-360),IF(AND(P174&gt;180,P174&lt;360),ABS(360-P174),-P174)))</f>
        <v>4.3350887141912153E-2</v>
      </c>
      <c r="U174" s="99">
        <f t="shared" ref="U174:U190" si="52">IF(Q174&lt;0,ABS(Q174),IF(Q174&gt;360,Q174-(Q174-360),IF(AND(Q174&gt;180,Q174&lt;360),ABS(360-Q174),-Q174)))</f>
        <v>58.158052379243486</v>
      </c>
      <c r="V174" s="100" t="e">
        <f t="shared" ref="V174:V190" si="53">IF(R174&lt;0,ABS(R174),IF(R174&gt;360,-(R174-360),IF(AND(R174&gt;180,R174&lt;360),ABS(360-R174),-R174)))</f>
        <v>#N/A</v>
      </c>
      <c r="W174" s="100" t="e">
        <f t="shared" ref="W174:W190" si="54">IF(S174&lt;0,ABS(S174),IF(S174&gt;360,-(S174-360),IF(AND(S174&gt;180,S174&lt;360),ABS(360-S174),-S174)))</f>
        <v>#N/A</v>
      </c>
      <c r="X174" s="100"/>
      <c r="Y174" s="147"/>
    </row>
    <row r="175" spans="13:25" ht="1" customHeight="1">
      <c r="M175" s="154">
        <f t="shared" si="47"/>
        <v>-51.736016293139826</v>
      </c>
      <c r="N175" s="155">
        <f t="shared" si="42"/>
        <v>-51.736016293139826</v>
      </c>
      <c r="O175" s="156">
        <f t="shared" si="48"/>
        <v>-0.9029638261807218</v>
      </c>
      <c r="P175" s="96">
        <f t="shared" si="49"/>
        <v>358.63001474389915</v>
      </c>
      <c r="Q175" s="96">
        <f t="shared" si="50"/>
        <v>303.16858198971545</v>
      </c>
      <c r="R175" s="96" t="e">
        <f t="shared" si="45"/>
        <v>#N/A</v>
      </c>
      <c r="S175" s="97" t="e">
        <f t="shared" si="46"/>
        <v>#N/A</v>
      </c>
      <c r="T175" s="98">
        <f t="shared" si="51"/>
        <v>1.369985256100847</v>
      </c>
      <c r="U175" s="99">
        <f t="shared" si="52"/>
        <v>56.831418010284551</v>
      </c>
      <c r="V175" s="100" t="e">
        <f t="shared" si="53"/>
        <v>#N/A</v>
      </c>
      <c r="W175" s="100" t="e">
        <f t="shared" si="54"/>
        <v>#N/A</v>
      </c>
      <c r="X175" s="100"/>
      <c r="Y175" s="147"/>
    </row>
    <row r="176" spans="13:25" ht="1" customHeight="1">
      <c r="M176" s="154">
        <f t="shared" si="47"/>
        <v>-52.339993832300827</v>
      </c>
      <c r="N176" s="155">
        <f t="shared" si="42"/>
        <v>-52.339993832300827</v>
      </c>
      <c r="O176" s="156">
        <f t="shared" si="48"/>
        <v>-0.91350522284717428</v>
      </c>
      <c r="P176" s="96">
        <f t="shared" si="49"/>
        <v>357.18965522151285</v>
      </c>
      <c r="Q176" s="96">
        <f t="shared" si="50"/>
        <v>304.60894151210175</v>
      </c>
      <c r="R176" s="96" t="e">
        <f t="shared" si="45"/>
        <v>#N/A</v>
      </c>
      <c r="S176" s="97" t="e">
        <f t="shared" si="46"/>
        <v>#N/A</v>
      </c>
      <c r="T176" s="98">
        <f t="shared" si="51"/>
        <v>2.8103447784871491</v>
      </c>
      <c r="U176" s="99">
        <f t="shared" si="52"/>
        <v>55.391058487898249</v>
      </c>
      <c r="V176" s="100" t="e">
        <f t="shared" si="53"/>
        <v>#N/A</v>
      </c>
      <c r="W176" s="100" t="e">
        <f t="shared" si="54"/>
        <v>#N/A</v>
      </c>
      <c r="X176" s="100"/>
      <c r="Y176" s="147"/>
    </row>
    <row r="177" spans="12:25" ht="1" customHeight="1">
      <c r="M177" s="154">
        <f t="shared" si="47"/>
        <v>-52.943971371461828</v>
      </c>
      <c r="N177" s="155">
        <f t="shared" si="42"/>
        <v>-52.943971371461828</v>
      </c>
      <c r="O177" s="156">
        <f t="shared" si="48"/>
        <v>-0.92404661951362665</v>
      </c>
      <c r="P177" s="96">
        <f t="shared" si="49"/>
        <v>355.61365045662546</v>
      </c>
      <c r="Q177" s="96">
        <f t="shared" si="50"/>
        <v>306.18494627698919</v>
      </c>
      <c r="R177" s="96" t="e">
        <f t="shared" si="45"/>
        <v>#N/A</v>
      </c>
      <c r="S177" s="97" t="e">
        <f t="shared" si="46"/>
        <v>#N/A</v>
      </c>
      <c r="T177" s="98">
        <f t="shared" si="51"/>
        <v>4.3863495433745356</v>
      </c>
      <c r="U177" s="99">
        <f t="shared" si="52"/>
        <v>53.815053723010806</v>
      </c>
      <c r="V177" s="100" t="e">
        <f t="shared" si="53"/>
        <v>#N/A</v>
      </c>
      <c r="W177" s="100" t="e">
        <f t="shared" si="54"/>
        <v>#N/A</v>
      </c>
      <c r="X177" s="100"/>
      <c r="Y177" s="147"/>
    </row>
    <row r="178" spans="12:25" ht="1" customHeight="1">
      <c r="M178" s="154">
        <f t="shared" si="47"/>
        <v>-53.547948910622829</v>
      </c>
      <c r="N178" s="155">
        <f t="shared" si="42"/>
        <v>-53.547948910622829</v>
      </c>
      <c r="O178" s="156">
        <f t="shared" si="48"/>
        <v>-0.93458801618007914</v>
      </c>
      <c r="P178" s="96">
        <f t="shared" si="49"/>
        <v>353.87177233470806</v>
      </c>
      <c r="Q178" s="96">
        <f t="shared" si="50"/>
        <v>307.9268243989066</v>
      </c>
      <c r="R178" s="96" t="e">
        <f t="shared" si="45"/>
        <v>#N/A</v>
      </c>
      <c r="S178" s="97" t="e">
        <f t="shared" si="46"/>
        <v>#N/A</v>
      </c>
      <c r="T178" s="98">
        <f t="shared" si="51"/>
        <v>6.128227665291945</v>
      </c>
      <c r="U178" s="99">
        <f t="shared" si="52"/>
        <v>52.073175601093396</v>
      </c>
      <c r="V178" s="100" t="e">
        <f t="shared" si="53"/>
        <v>#N/A</v>
      </c>
      <c r="W178" s="100" t="e">
        <f t="shared" si="54"/>
        <v>#N/A</v>
      </c>
      <c r="X178" s="100"/>
      <c r="Y178" s="147"/>
    </row>
    <row r="179" spans="12:25" ht="1" customHeight="1">
      <c r="M179" s="154">
        <f t="shared" si="47"/>
        <v>-54.151926449783829</v>
      </c>
      <c r="N179" s="155">
        <f t="shared" si="42"/>
        <v>-54.151926449783829</v>
      </c>
      <c r="O179" s="156">
        <f t="shared" si="48"/>
        <v>-0.94512941284653162</v>
      </c>
      <c r="P179" s="96">
        <f t="shared" si="49"/>
        <v>351.92013278598171</v>
      </c>
      <c r="Q179" s="96">
        <f t="shared" si="50"/>
        <v>309.87846394763289</v>
      </c>
      <c r="R179" s="96" t="e">
        <f t="shared" si="45"/>
        <v>#N/A</v>
      </c>
      <c r="S179" s="97" t="e">
        <f t="shared" si="46"/>
        <v>#N/A</v>
      </c>
      <c r="T179" s="98">
        <f t="shared" si="51"/>
        <v>8.079867214018293</v>
      </c>
      <c r="U179" s="99">
        <f t="shared" si="52"/>
        <v>50.121536052367105</v>
      </c>
      <c r="V179" s="100" t="e">
        <f t="shared" si="53"/>
        <v>#N/A</v>
      </c>
      <c r="W179" s="100" t="e">
        <f t="shared" si="54"/>
        <v>#N/A</v>
      </c>
      <c r="X179" s="100"/>
      <c r="Y179" s="147"/>
    </row>
    <row r="180" spans="12:25" ht="1" customHeight="1">
      <c r="M180" s="154">
        <f t="shared" si="47"/>
        <v>-54.75590398894483</v>
      </c>
      <c r="N180" s="155">
        <f t="shared" si="42"/>
        <v>-54.75590398894483</v>
      </c>
      <c r="O180" s="156">
        <f t="shared" si="48"/>
        <v>-0.95567080951298411</v>
      </c>
      <c r="P180" s="96">
        <f t="shared" si="49"/>
        <v>349.69029667937167</v>
      </c>
      <c r="Q180" s="96">
        <f t="shared" si="50"/>
        <v>312.10830005424299</v>
      </c>
      <c r="R180" s="96" t="e">
        <f t="shared" si="45"/>
        <v>#N/A</v>
      </c>
      <c r="S180" s="97" t="e">
        <f t="shared" si="46"/>
        <v>#N/A</v>
      </c>
      <c r="T180" s="98">
        <f t="shared" si="51"/>
        <v>10.30970332062833</v>
      </c>
      <c r="U180" s="99">
        <f t="shared" si="52"/>
        <v>47.891699945757011</v>
      </c>
      <c r="V180" s="100" t="e">
        <f t="shared" si="53"/>
        <v>#N/A</v>
      </c>
      <c r="W180" s="100" t="e">
        <f t="shared" si="54"/>
        <v>#N/A</v>
      </c>
      <c r="X180" s="100"/>
      <c r="Y180" s="147"/>
    </row>
    <row r="181" spans="12:25" ht="1" customHeight="1">
      <c r="M181" s="154">
        <f t="shared" si="47"/>
        <v>-55.359881528105831</v>
      </c>
      <c r="N181" s="155">
        <f t="shared" si="42"/>
        <v>-55.359881528105831</v>
      </c>
      <c r="O181" s="156">
        <f t="shared" si="48"/>
        <v>-0.96621220617943648</v>
      </c>
      <c r="P181" s="96">
        <f t="shared" si="49"/>
        <v>347.06361806201818</v>
      </c>
      <c r="Q181" s="96">
        <f t="shared" si="50"/>
        <v>314.73497867159648</v>
      </c>
      <c r="R181" s="96" t="e">
        <f t="shared" si="45"/>
        <v>#N/A</v>
      </c>
      <c r="S181" s="97" t="e">
        <f t="shared" si="46"/>
        <v>#N/A</v>
      </c>
      <c r="T181" s="98">
        <f t="shared" si="51"/>
        <v>12.936381937981821</v>
      </c>
      <c r="U181" s="99">
        <f t="shared" si="52"/>
        <v>45.26502132840352</v>
      </c>
      <c r="V181" s="100" t="e">
        <f t="shared" si="53"/>
        <v>#N/A</v>
      </c>
      <c r="W181" s="100" t="e">
        <f t="shared" si="54"/>
        <v>#N/A</v>
      </c>
      <c r="X181" s="100"/>
      <c r="Y181" s="147"/>
    </row>
    <row r="182" spans="12:25" ht="1" customHeight="1">
      <c r="M182" s="154">
        <f t="shared" si="47"/>
        <v>-55.963859067266831</v>
      </c>
      <c r="N182" s="155">
        <f t="shared" si="42"/>
        <v>-55.963859067266831</v>
      </c>
      <c r="O182" s="156">
        <f t="shared" si="48"/>
        <v>-0.97675360284588897</v>
      </c>
      <c r="P182" s="96">
        <f t="shared" si="49"/>
        <v>343.79466944374639</v>
      </c>
      <c r="Q182" s="96">
        <f t="shared" si="50"/>
        <v>318.00392728986827</v>
      </c>
      <c r="R182" s="96" t="e">
        <f t="shared" si="45"/>
        <v>#N/A</v>
      </c>
      <c r="S182" s="97" t="e">
        <f t="shared" si="46"/>
        <v>#N/A</v>
      </c>
      <c r="T182" s="98">
        <f t="shared" si="51"/>
        <v>16.205330556253614</v>
      </c>
      <c r="U182" s="99">
        <f t="shared" si="52"/>
        <v>41.996072710131727</v>
      </c>
      <c r="V182" s="100" t="e">
        <f t="shared" si="53"/>
        <v>#N/A</v>
      </c>
      <c r="W182" s="100" t="e">
        <f t="shared" si="54"/>
        <v>#N/A</v>
      </c>
      <c r="X182" s="100"/>
      <c r="Y182" s="147"/>
    </row>
    <row r="183" spans="12:25" ht="1" customHeight="1">
      <c r="M183" s="154">
        <f t="shared" si="47"/>
        <v>-56.567836606427832</v>
      </c>
      <c r="N183" s="155">
        <f t="shared" si="42"/>
        <v>-56.567836606427832</v>
      </c>
      <c r="O183" s="156">
        <f t="shared" si="48"/>
        <v>-0.98729499951234145</v>
      </c>
      <c r="P183" s="96">
        <f t="shared" si="49"/>
        <v>339.14389449399596</v>
      </c>
      <c r="Q183" s="96">
        <f t="shared" si="50"/>
        <v>322.65470223961864</v>
      </c>
      <c r="R183" s="96" t="e">
        <f t="shared" si="45"/>
        <v>#N/A</v>
      </c>
      <c r="S183" s="97" t="e">
        <f t="shared" si="46"/>
        <v>#N/A</v>
      </c>
      <c r="T183" s="98">
        <f t="shared" si="51"/>
        <v>20.856105506004042</v>
      </c>
      <c r="U183" s="99">
        <f t="shared" si="52"/>
        <v>37.345297760381357</v>
      </c>
      <c r="V183" s="100" t="e">
        <f t="shared" si="53"/>
        <v>#N/A</v>
      </c>
      <c r="W183" s="100" t="e">
        <f t="shared" si="54"/>
        <v>#N/A</v>
      </c>
      <c r="X183" s="100"/>
      <c r="Y183" s="147"/>
    </row>
    <row r="184" spans="12:25" ht="1" customHeight="1">
      <c r="M184" s="154">
        <f t="shared" si="47"/>
        <v>-56.963480055293246</v>
      </c>
      <c r="N184" s="155">
        <f t="shared" si="42"/>
        <v>-57.171814145588833</v>
      </c>
      <c r="O184" s="156">
        <f t="shared" si="48"/>
        <v>-0.99420028035898866</v>
      </c>
      <c r="P184" s="96">
        <f t="shared" si="49"/>
        <v>332.20119141510423</v>
      </c>
      <c r="Q184" s="96">
        <f t="shared" si="50"/>
        <v>329.59740531851043</v>
      </c>
      <c r="R184" s="96" t="e">
        <f t="shared" si="45"/>
        <v>#N/A</v>
      </c>
      <c r="S184" s="97" t="e">
        <f t="shared" si="46"/>
        <v>#N/A</v>
      </c>
      <c r="T184" s="98">
        <f t="shared" si="51"/>
        <v>27.798808584895767</v>
      </c>
      <c r="U184" s="99">
        <f t="shared" si="52"/>
        <v>30.402594681489575</v>
      </c>
      <c r="V184" s="100" t="e">
        <f t="shared" si="53"/>
        <v>#N/A</v>
      </c>
      <c r="W184" s="100" t="e">
        <f t="shared" si="54"/>
        <v>#N/A</v>
      </c>
      <c r="X184" s="100"/>
      <c r="Y184" s="147"/>
    </row>
    <row r="185" spans="12:25" ht="1" customHeight="1">
      <c r="M185" s="154">
        <f t="shared" si="47"/>
        <v>-56.963480055293246</v>
      </c>
      <c r="N185" s="155">
        <f t="shared" si="42"/>
        <v>-57.775791684749834</v>
      </c>
      <c r="O185" s="156">
        <f t="shared" si="48"/>
        <v>-0.99420028035898866</v>
      </c>
      <c r="P185" s="96">
        <f t="shared" si="49"/>
        <v>332.20119141510423</v>
      </c>
      <c r="Q185" s="96">
        <f t="shared" si="50"/>
        <v>329.59740531851043</v>
      </c>
      <c r="R185" s="96" t="e">
        <f t="shared" si="45"/>
        <v>#N/A</v>
      </c>
      <c r="S185" s="97" t="e">
        <f t="shared" si="46"/>
        <v>#N/A</v>
      </c>
      <c r="T185" s="98">
        <f t="shared" si="51"/>
        <v>27.798808584895767</v>
      </c>
      <c r="U185" s="99">
        <f t="shared" si="52"/>
        <v>30.402594681489575</v>
      </c>
      <c r="V185" s="100" t="e">
        <f t="shared" si="53"/>
        <v>#N/A</v>
      </c>
      <c r="W185" s="100" t="e">
        <f t="shared" si="54"/>
        <v>#N/A</v>
      </c>
      <c r="X185" s="100"/>
      <c r="Y185" s="147"/>
    </row>
    <row r="186" spans="12:25" ht="1" customHeight="1">
      <c r="M186" s="154">
        <f t="shared" si="47"/>
        <v>-56.963480055293246</v>
      </c>
      <c r="N186" s="155">
        <f t="shared" si="42"/>
        <v>-58.379769223910834</v>
      </c>
      <c r="O186" s="156">
        <f t="shared" si="48"/>
        <v>-0.99420028035898866</v>
      </c>
      <c r="P186" s="96">
        <f t="shared" si="49"/>
        <v>332.20119141510423</v>
      </c>
      <c r="Q186" s="96">
        <f t="shared" si="50"/>
        <v>329.59740531851043</v>
      </c>
      <c r="R186" s="96" t="e">
        <f t="shared" si="45"/>
        <v>#N/A</v>
      </c>
      <c r="S186" s="97" t="e">
        <f t="shared" si="46"/>
        <v>#N/A</v>
      </c>
      <c r="T186" s="98">
        <f t="shared" si="51"/>
        <v>27.798808584895767</v>
      </c>
      <c r="U186" s="99">
        <f t="shared" si="52"/>
        <v>30.402594681489575</v>
      </c>
      <c r="V186" s="100" t="e">
        <f t="shared" si="53"/>
        <v>#N/A</v>
      </c>
      <c r="W186" s="100" t="e">
        <f t="shared" si="54"/>
        <v>#N/A</v>
      </c>
      <c r="X186" s="100"/>
      <c r="Y186" s="147"/>
    </row>
    <row r="187" spans="12:25" ht="1" customHeight="1">
      <c r="M187" s="154">
        <f t="shared" si="47"/>
        <v>-56.963480055293246</v>
      </c>
      <c r="N187" s="155">
        <f t="shared" si="42"/>
        <v>-58.983746763071835</v>
      </c>
      <c r="O187" s="156">
        <f t="shared" si="48"/>
        <v>-0.99420028035898866</v>
      </c>
      <c r="P187" s="96">
        <f t="shared" si="49"/>
        <v>332.20119141510423</v>
      </c>
      <c r="Q187" s="96">
        <f t="shared" si="50"/>
        <v>329.59740531851043</v>
      </c>
      <c r="R187" s="96" t="e">
        <f t="shared" si="45"/>
        <v>#N/A</v>
      </c>
      <c r="S187" s="97" t="e">
        <f t="shared" si="46"/>
        <v>#N/A</v>
      </c>
      <c r="T187" s="98">
        <f t="shared" si="51"/>
        <v>27.798808584895767</v>
      </c>
      <c r="U187" s="99">
        <f t="shared" si="52"/>
        <v>30.402594681489575</v>
      </c>
      <c r="V187" s="100" t="e">
        <f t="shared" si="53"/>
        <v>#N/A</v>
      </c>
      <c r="W187" s="100" t="e">
        <f t="shared" si="54"/>
        <v>#N/A</v>
      </c>
      <c r="X187" s="100"/>
      <c r="Y187" s="147"/>
    </row>
    <row r="188" spans="12:25" ht="16" customHeight="1" thickBot="1">
      <c r="M188" s="154">
        <f t="shared" si="47"/>
        <v>-56.963480055293246</v>
      </c>
      <c r="N188" s="155">
        <f t="shared" si="42"/>
        <v>-59.587724302232836</v>
      </c>
      <c r="O188" s="156">
        <f t="shared" si="48"/>
        <v>-0.99420028035898866</v>
      </c>
      <c r="P188" s="96">
        <f t="shared" si="49"/>
        <v>332.20119141510423</v>
      </c>
      <c r="Q188" s="96">
        <f t="shared" si="50"/>
        <v>329.59740531851043</v>
      </c>
      <c r="R188" s="96" t="e">
        <f t="shared" si="45"/>
        <v>#N/A</v>
      </c>
      <c r="S188" s="97" t="e">
        <f t="shared" si="46"/>
        <v>#N/A</v>
      </c>
      <c r="T188" s="98">
        <f t="shared" si="51"/>
        <v>27.798808584895767</v>
      </c>
      <c r="U188" s="99">
        <f t="shared" si="52"/>
        <v>30.402594681489575</v>
      </c>
      <c r="V188" s="100" t="e">
        <f t="shared" si="53"/>
        <v>#N/A</v>
      </c>
      <c r="W188" s="100" t="e">
        <f t="shared" si="54"/>
        <v>#N/A</v>
      </c>
      <c r="X188" s="100"/>
      <c r="Y188" s="147"/>
    </row>
    <row r="189" spans="12:25" ht="16" customHeight="1">
      <c r="L189" s="132">
        <f>IFERROR(-90+DEGREES(h_)+DEGREES(d_)+0.01,0)</f>
        <v>-42.075075666563919</v>
      </c>
      <c r="M189" s="154">
        <f t="shared" si="47"/>
        <v>-56.963480055293246</v>
      </c>
      <c r="N189" s="155">
        <f t="shared" si="42"/>
        <v>-60.191701841393837</v>
      </c>
      <c r="O189" s="156">
        <f t="shared" si="48"/>
        <v>-0.99420028035898866</v>
      </c>
      <c r="P189" s="96">
        <f t="shared" si="49"/>
        <v>332.20119141510423</v>
      </c>
      <c r="Q189" s="96">
        <f t="shared" si="50"/>
        <v>329.59740531851043</v>
      </c>
      <c r="R189" s="96" t="e">
        <f t="shared" si="45"/>
        <v>#N/A</v>
      </c>
      <c r="S189" s="97" t="e">
        <f t="shared" si="46"/>
        <v>#N/A</v>
      </c>
      <c r="T189" s="98">
        <f t="shared" si="51"/>
        <v>27.798808584895767</v>
      </c>
      <c r="U189" s="99">
        <f t="shared" si="52"/>
        <v>30.402594681489575</v>
      </c>
      <c r="V189" s="100" t="e">
        <f t="shared" si="53"/>
        <v>#N/A</v>
      </c>
      <c r="W189" s="100" t="e">
        <f t="shared" si="54"/>
        <v>#N/A</v>
      </c>
      <c r="X189" s="100"/>
      <c r="Y189" s="147"/>
    </row>
    <row r="190" spans="12:25" ht="16" customHeight="1" thickBot="1">
      <c r="L190" s="133">
        <f>IFERROR(-90+DEGREES(h)+DEGREES(d)+0.01,0)</f>
        <v>-56.963480055293246</v>
      </c>
      <c r="M190" s="157">
        <f t="shared" si="47"/>
        <v>-56.963480055293246</v>
      </c>
      <c r="N190" s="158">
        <f t="shared" si="42"/>
        <v>-60.795679380554837</v>
      </c>
      <c r="O190" s="159">
        <f t="shared" si="48"/>
        <v>-0.99420028035898866</v>
      </c>
      <c r="P190" s="134">
        <f t="shared" si="49"/>
        <v>332.20119141510423</v>
      </c>
      <c r="Q190" s="134">
        <f t="shared" si="50"/>
        <v>329.59740531851043</v>
      </c>
      <c r="R190" s="134" t="e">
        <f t="shared" si="45"/>
        <v>#N/A</v>
      </c>
      <c r="S190" s="135" t="e">
        <f t="shared" si="46"/>
        <v>#N/A</v>
      </c>
      <c r="T190" s="136">
        <f t="shared" si="51"/>
        <v>27.798808584895767</v>
      </c>
      <c r="U190" s="137">
        <f t="shared" si="52"/>
        <v>30.402594681489575</v>
      </c>
      <c r="V190" s="138" t="e">
        <f t="shared" si="53"/>
        <v>#N/A</v>
      </c>
      <c r="W190" s="138" t="e">
        <f t="shared" si="54"/>
        <v>#N/A</v>
      </c>
      <c r="X190" s="148"/>
      <c r="Y190" s="149"/>
    </row>
    <row r="191" spans="12:25">
      <c r="M191" s="141">
        <f>DEGREES(js)</f>
        <v>33.595343477090736</v>
      </c>
      <c r="N191" s="142"/>
      <c r="O191" s="143"/>
      <c r="P191" s="142"/>
      <c r="Q191" s="142"/>
      <c r="R191" s="142"/>
      <c r="S191" s="142"/>
      <c r="T191" s="144"/>
      <c r="U191" s="144"/>
      <c r="V191" s="145"/>
      <c r="W191" s="145"/>
      <c r="X191" s="167">
        <f>IFERROR(DEGREES(ls),#N/A)</f>
        <v>-11.858954233477355</v>
      </c>
      <c r="Y191" s="146"/>
    </row>
    <row r="192" spans="12:25">
      <c r="M192" s="160">
        <f>DEGREES(d)</f>
        <v>-3.3637210397229271</v>
      </c>
      <c r="N192" s="161"/>
      <c r="O192" s="161"/>
      <c r="P192" s="161"/>
      <c r="Q192" s="161"/>
      <c r="R192" s="161"/>
      <c r="S192" s="161"/>
      <c r="T192" s="161"/>
      <c r="U192" s="161"/>
      <c r="V192" s="161"/>
      <c r="W192" s="161"/>
      <c r="X192" s="161"/>
      <c r="Y192" s="162">
        <f>IF(DEGREES(grt)&lt;180,-DEGREES(grt),360-DEGREES(grt))</f>
        <v>29.100701633192671</v>
      </c>
    </row>
    <row r="193" spans="13:25" ht="17" thickBot="1">
      <c r="M193" s="163">
        <f>DEGREES(d_)</f>
        <v>-3.4205131602596803</v>
      </c>
      <c r="N193" s="164"/>
      <c r="O193" s="164"/>
      <c r="P193" s="165"/>
      <c r="Q193" s="165"/>
      <c r="R193" s="165"/>
      <c r="S193" s="165"/>
      <c r="T193" s="165"/>
      <c r="U193" s="165"/>
      <c r="V193" s="165"/>
      <c r="W193" s="165"/>
      <c r="X193" s="165"/>
      <c r="Y193" s="166">
        <f>IF(DEGREES(grt_)&lt;180,-DEGREES(grt_),360-DEGREES(grt_))</f>
        <v>-23.686070501695195</v>
      </c>
    </row>
    <row r="194" spans="13:25">
      <c r="M194" s="139"/>
      <c r="N194" s="139"/>
      <c r="O194" s="139"/>
      <c r="P194" s="139"/>
      <c r="Q194" s="139"/>
      <c r="R194" s="139"/>
      <c r="S194" s="139"/>
      <c r="T194" s="139"/>
      <c r="U194" s="139"/>
      <c r="V194" s="139"/>
      <c r="W194" s="139"/>
      <c r="X194" s="139"/>
      <c r="Y194" s="139"/>
    </row>
  </sheetData>
  <sheetProtection algorithmName="SHA-512" hashValue="HZ6F/Nd0Ek4qCbhxKOeb9VTYWW6HOYutCP26Hau9p4WVDKWN5uVDcNtdE6aE9v1d7op6G9J15sCEsLRqf6hMYg==" saltValue="aUKotTdu5Je/u4NKTXENlQ==" spinCount="100000" sheet="1" scenarios="1" selectLockedCells="1"/>
  <mergeCells count="1">
    <mergeCell ref="H2:J2"/>
  </mergeCells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53</vt:i4>
      </vt:variant>
    </vt:vector>
  </HeadingPairs>
  <TitlesOfParts>
    <vt:vector size="56" baseType="lpstr">
      <vt:lpstr>Navigation</vt:lpstr>
      <vt:lpstr>Grafic local</vt:lpstr>
      <vt:lpstr>Grafic global</vt:lpstr>
      <vt:lpstr>_A1</vt:lpstr>
      <vt:lpstr>_A2</vt:lpstr>
      <vt:lpstr>_A3</vt:lpstr>
      <vt:lpstr>_A4</vt:lpstr>
      <vt:lpstr>_B1</vt:lpstr>
      <vt:lpstr>_B2</vt:lpstr>
      <vt:lpstr>_B3</vt:lpstr>
      <vt:lpstr>_B4</vt:lpstr>
      <vt:lpstr>_l</vt:lpstr>
      <vt:lpstr>_ls</vt:lpstr>
      <vt:lpstr>_T1</vt:lpstr>
      <vt:lpstr>_T2</vt:lpstr>
      <vt:lpstr>add</vt:lpstr>
      <vt:lpstr>Az</vt:lpstr>
      <vt:lpstr>B</vt:lpstr>
      <vt:lpstr>B_</vt:lpstr>
      <vt:lpstr>BB</vt:lpstr>
      <vt:lpstr>cmg</vt:lpstr>
      <vt:lpstr>d</vt:lpstr>
      <vt:lpstr>d_</vt:lpstr>
      <vt:lpstr>dat</vt:lpstr>
      <vt:lpstr>dat_</vt:lpstr>
      <vt:lpstr>dmg</vt:lpstr>
      <vt:lpstr>F</vt:lpstr>
      <vt:lpstr>G</vt:lpstr>
      <vt:lpstr>grt</vt:lpstr>
      <vt:lpstr>grt_</vt:lpstr>
      <vt:lpstr>Gs</vt:lpstr>
      <vt:lpstr>h</vt:lpstr>
      <vt:lpstr>h_</vt:lpstr>
      <vt:lpstr>hs</vt:lpstr>
      <vt:lpstr>j</vt:lpstr>
      <vt:lpstr>js</vt:lpstr>
      <vt:lpstr>LHA</vt:lpstr>
      <vt:lpstr>LHA_</vt:lpstr>
      <vt:lpstr>ls</vt:lpstr>
      <vt:lpstr>maxn</vt:lpstr>
      <vt:lpstr>maxs</vt:lpstr>
      <vt:lpstr>minn</vt:lpstr>
      <vt:lpstr>mins</vt:lpstr>
      <vt:lpstr>ot</vt:lpstr>
      <vt:lpstr>ot_</vt:lpstr>
      <vt:lpstr>q</vt:lpstr>
      <vt:lpstr>ref</vt:lpstr>
      <vt:lpstr>step</vt:lpstr>
      <vt:lpstr>tau</vt:lpstr>
      <vt:lpstr>taus</vt:lpstr>
      <vt:lpstr>V</vt:lpstr>
      <vt:lpstr>vb</vt:lpstr>
      <vt:lpstr>vl</vt:lpstr>
      <vt:lpstr>W</vt:lpstr>
      <vt:lpstr>Ws</vt:lpstr>
      <vt:lpstr>z_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Office-Anwender</dc:creator>
  <cp:lastModifiedBy>Helmut Hoffrichter</cp:lastModifiedBy>
  <dcterms:created xsi:type="dcterms:W3CDTF">2018-01-04T14:37:05Z</dcterms:created>
  <dcterms:modified xsi:type="dcterms:W3CDTF">2025-12-03T16:50:10Z</dcterms:modified>
</cp:coreProperties>
</file>