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F3D92343-74DB-A042-9845-101224B6DA6C}" xr6:coauthVersionLast="47" xr6:coauthVersionMax="47" xr10:uidLastSave="{00000000-0000-0000-0000-000000000000}"/>
  <bookViews>
    <workbookView xWindow="4780" yWindow="500" windowWidth="33240" windowHeight="21100" tabRatio="500" xr2:uid="{00000000-000D-0000-FFFF-FFFF00000000}"/>
  </bookViews>
  <sheets>
    <sheet name="Navigation" sheetId="7" r:id="rId1"/>
    <sheet name="Standortgrafik" sheetId="2" r:id="rId2"/>
    <sheet name="globale Grafik" sheetId="4" r:id="rId3"/>
  </sheets>
  <definedNames>
    <definedName name="_A1">Navigation!$O$21</definedName>
    <definedName name="_A2">Navigation!$O$22</definedName>
    <definedName name="_A3">Navigation!$O$23</definedName>
    <definedName name="_A4">Navigation!$O$24</definedName>
    <definedName name="_B1">Navigation!$O$25</definedName>
    <definedName name="_B2">Navigation!$O$26</definedName>
    <definedName name="_B3">Navigation!$O$27</definedName>
    <definedName name="_B4">Navigation!$O$28</definedName>
    <definedName name="_dek1">Navigation!#REF!</definedName>
    <definedName name="_l">Navigation!$S$15</definedName>
    <definedName name="_ls">Navigation!$S$16</definedName>
    <definedName name="_p1">Navigation!$AC$10</definedName>
    <definedName name="_p2">Navigation!$AC$11</definedName>
    <definedName name="_s1">Navigation!$AC$12</definedName>
    <definedName name="_s1v">Navigation!#REF!</definedName>
    <definedName name="_s2">Navigation!$AC$13</definedName>
    <definedName name="_T1">Navigation!$L$11</definedName>
    <definedName name="_T2">Navigation!$L$12</definedName>
    <definedName name="add">'globale Grafik'!$AE$16</definedName>
    <definedName name="Az">Navigation!$V$15</definedName>
    <definedName name="B">Standortgrafik!$M$10</definedName>
    <definedName name="B_">Standortgrafik!$M$11</definedName>
    <definedName name="BB">Navigation!$H$55</definedName>
    <definedName name="cmg">Navigation!$H$17</definedName>
    <definedName name="d">Navigation!$W$11</definedName>
    <definedName name="d_">Navigation!$W$12</definedName>
    <definedName name="dat">Navigation!$G$12</definedName>
    <definedName name="dat_">Navigation!$G$20</definedName>
    <definedName name="deka">Navigation!#REF!</definedName>
    <definedName name="dmg">Navigation!$C$17</definedName>
    <definedName name="F">Navigation!$M$15</definedName>
    <definedName name="G">Navigation!$P$15</definedName>
    <definedName name="grt">Navigation!$V$11</definedName>
    <definedName name="grt_">Navigation!$V$12</definedName>
    <definedName name="grta">Navigation!#REF!</definedName>
    <definedName name="Gs">Navigation!$P$16</definedName>
    <definedName name="h">Navigation!$Q$7</definedName>
    <definedName name="h_">Navigation!$Q$8</definedName>
    <definedName name="hma">Navigation!#REF!</definedName>
    <definedName name="hmav">Navigation!#REF!</definedName>
    <definedName name="hs">Navigation!$W$15</definedName>
    <definedName name="j">Navigation!$R$15</definedName>
    <definedName name="js">Navigation!$R$16</definedName>
    <definedName name="K">Navigation!$W$23</definedName>
    <definedName name="lat">Navigation!$V$39</definedName>
    <definedName name="LHA">Navigation!$U$15</definedName>
    <definedName name="LHA_">Navigation!$U$16</definedName>
    <definedName name="LHAa">Navigation!$AA$27</definedName>
    <definedName name="lon">Navigation!$V$41</definedName>
    <definedName name="ls">Navigation!$T$16</definedName>
    <definedName name="maxn">'globale Grafik'!$AE$6</definedName>
    <definedName name="maxs">'globale Grafik'!$AE$9</definedName>
    <definedName name="minn">'globale Grafik'!$AE$8</definedName>
    <definedName name="mins">'globale Grafik'!$AE$7</definedName>
    <definedName name="ot">Navigation!$G$13</definedName>
    <definedName name="ot_">Navigation!$G$21</definedName>
    <definedName name="q">Navigation!$L$15</definedName>
    <definedName name="ref">Navigation!$O$29</definedName>
    <definedName name="step">'globale Grafik'!$AE$17</definedName>
    <definedName name="t">Navigation!$AC$14</definedName>
    <definedName name="tau">Navigation!$Q$15</definedName>
    <definedName name="taus">Navigation!$Q$16</definedName>
    <definedName name="TG">Navigation!$F$20</definedName>
    <definedName name="V">Navigation!$N$15</definedName>
    <definedName name="var">Navigation!$V$22</definedName>
    <definedName name="vb">Standortgrafik!$O$7</definedName>
    <definedName name="vl">Standortgrafik!$O$8</definedName>
    <definedName name="W">Navigation!$O$15</definedName>
    <definedName name="Ws">Navigation!$O$16</definedName>
    <definedName name="z_">Navigation!$V$16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7" l="1"/>
  <c r="F29" i="7"/>
  <c r="C29" i="7"/>
  <c r="M9" i="2"/>
  <c r="C9" i="7" l="1"/>
  <c r="C21" i="7" l="1"/>
  <c r="E21" i="7"/>
  <c r="F22" i="7"/>
  <c r="F14" i="7"/>
  <c r="F13" i="7"/>
  <c r="M8" i="2" l="1"/>
  <c r="M7" i="2"/>
  <c r="O7" i="2" s="1"/>
  <c r="O24" i="7" l="1"/>
  <c r="L34" i="7"/>
  <c r="O23" i="7"/>
  <c r="O22" i="7"/>
  <c r="L11" i="7"/>
  <c r="O21" i="7"/>
  <c r="O8" i="7"/>
  <c r="O7" i="7"/>
  <c r="K22" i="7"/>
  <c r="K23" i="7" s="1"/>
  <c r="L8" i="7"/>
  <c r="L7" i="7"/>
  <c r="H5" i="7"/>
  <c r="N7" i="7" l="1"/>
  <c r="M8" i="7"/>
  <c r="M7" i="7"/>
  <c r="M11" i="7"/>
  <c r="N11" i="7"/>
  <c r="S11" i="7"/>
  <c r="P11" i="7"/>
  <c r="K24" i="7"/>
  <c r="K25" i="7" s="1"/>
  <c r="K26" i="7" s="1"/>
  <c r="K27" i="7" s="1"/>
  <c r="K28" i="7" s="1"/>
  <c r="K29" i="7" s="1"/>
  <c r="K30" i="7" s="1"/>
  <c r="K31" i="7" s="1"/>
  <c r="K32" i="7" s="1"/>
  <c r="N8" i="7" l="1"/>
  <c r="P8" i="7" s="1"/>
  <c r="O11" i="7"/>
  <c r="Q11" i="7" s="1"/>
  <c r="R11" i="7" s="1"/>
  <c r="W11" i="7" s="1"/>
  <c r="M195" i="4" s="1"/>
  <c r="P7" i="7"/>
  <c r="C34" i="7" l="1"/>
  <c r="D34" i="7" s="1"/>
  <c r="F34" i="7"/>
  <c r="G34" i="7" s="1"/>
  <c r="C31" i="7"/>
  <c r="D31" i="7" s="1"/>
  <c r="Q7" i="7"/>
  <c r="Q8" i="7"/>
  <c r="T11" i="7"/>
  <c r="U11" i="7" s="1"/>
  <c r="V11" i="7" s="1"/>
  <c r="Y195" i="4" l="1"/>
  <c r="C30" i="7"/>
  <c r="D30" i="7" s="1"/>
  <c r="M6" i="2"/>
  <c r="M5" i="2"/>
  <c r="L12" i="7" l="1"/>
  <c r="M12" i="7" l="1"/>
  <c r="N12" i="7"/>
  <c r="S12" i="7"/>
  <c r="P12" i="7"/>
  <c r="O12" i="7" l="1"/>
  <c r="Q12" i="7" s="1"/>
  <c r="R12" i="7" l="1"/>
  <c r="W12" i="7" s="1"/>
  <c r="T12" i="7" l="1"/>
  <c r="U12" i="7" s="1"/>
  <c r="V12" i="7" s="1"/>
  <c r="M196" i="4"/>
  <c r="F31" i="7"/>
  <c r="G31" i="7" s="1"/>
  <c r="L192" i="4"/>
  <c r="L9" i="4"/>
  <c r="L193" i="4" l="1"/>
  <c r="AE7" i="4" s="1"/>
  <c r="L8" i="4"/>
  <c r="Y196" i="4" l="1"/>
  <c r="F30" i="7"/>
  <c r="G30" i="7" s="1"/>
  <c r="L15" i="7"/>
  <c r="M15" i="7" s="1"/>
  <c r="N15" i="7" s="1"/>
  <c r="AE9" i="4"/>
  <c r="AE11" i="4" s="1"/>
  <c r="AE6" i="4"/>
  <c r="AE12" i="4" s="1"/>
  <c r="AE8" i="4"/>
  <c r="O15" i="7" l="1"/>
  <c r="P15" i="7" s="1"/>
  <c r="Q15" i="7" s="1"/>
  <c r="AE10" i="4"/>
  <c r="AE13" i="4" s="1"/>
  <c r="AE15" i="4" s="1"/>
  <c r="AE16" i="4" s="1"/>
  <c r="S15" i="7" l="1"/>
  <c r="U15" i="7" s="1"/>
  <c r="M10" i="2" s="1"/>
  <c r="R15" i="7"/>
  <c r="AE17" i="4"/>
  <c r="N7" i="4" s="1"/>
  <c r="N8" i="4" s="1"/>
  <c r="C26" i="7" l="1"/>
  <c r="C32" i="7"/>
  <c r="D32" i="7" s="1"/>
  <c r="V15" i="7"/>
  <c r="N9" i="4"/>
  <c r="M8" i="4"/>
  <c r="O8" i="4" s="1"/>
  <c r="C33" i="7" l="1"/>
  <c r="D33" i="7" s="1"/>
  <c r="W15" i="7"/>
  <c r="O16" i="7" s="1"/>
  <c r="P8" i="4"/>
  <c r="T8" i="4" s="1"/>
  <c r="R8" i="4"/>
  <c r="V8" i="4" s="1"/>
  <c r="S8" i="4"/>
  <c r="W8" i="4" s="1"/>
  <c r="Q8" i="4"/>
  <c r="U8" i="4" s="1"/>
  <c r="M9" i="4"/>
  <c r="O9" i="4" s="1"/>
  <c r="N10" i="4"/>
  <c r="M10" i="4" l="1"/>
  <c r="O10" i="4" s="1"/>
  <c r="N11" i="4"/>
  <c r="Q9" i="4"/>
  <c r="U9" i="4" s="1"/>
  <c r="P9" i="4"/>
  <c r="T9" i="4" s="1"/>
  <c r="R9" i="4"/>
  <c r="V9" i="4" s="1"/>
  <c r="S9" i="4"/>
  <c r="W9" i="4" s="1"/>
  <c r="M11" i="4" l="1"/>
  <c r="O11" i="4" s="1"/>
  <c r="N12" i="4"/>
  <c r="Q10" i="4"/>
  <c r="U10" i="4" s="1"/>
  <c r="S10" i="4"/>
  <c r="W10" i="4" s="1"/>
  <c r="P10" i="4"/>
  <c r="T10" i="4" s="1"/>
  <c r="R10" i="4"/>
  <c r="V10" i="4" s="1"/>
  <c r="M12" i="4" l="1"/>
  <c r="O12" i="4" s="1"/>
  <c r="N13" i="4"/>
  <c r="P11" i="4"/>
  <c r="T11" i="4" s="1"/>
  <c r="R11" i="4"/>
  <c r="V11" i="4" s="1"/>
  <c r="S11" i="4"/>
  <c r="W11" i="4" s="1"/>
  <c r="Q11" i="4"/>
  <c r="U11" i="4" s="1"/>
  <c r="M13" i="4" l="1"/>
  <c r="O13" i="4" s="1"/>
  <c r="N14" i="4"/>
  <c r="Q12" i="4"/>
  <c r="U12" i="4" s="1"/>
  <c r="R12" i="4"/>
  <c r="V12" i="4" s="1"/>
  <c r="P12" i="4"/>
  <c r="T12" i="4" s="1"/>
  <c r="S12" i="4"/>
  <c r="W12" i="4" s="1"/>
  <c r="M14" i="4" l="1"/>
  <c r="O14" i="4" s="1"/>
  <c r="N15" i="4"/>
  <c r="Q13" i="4"/>
  <c r="U13" i="4" s="1"/>
  <c r="P13" i="4"/>
  <c r="T13" i="4" s="1"/>
  <c r="S13" i="4"/>
  <c r="W13" i="4" s="1"/>
  <c r="R13" i="4"/>
  <c r="V13" i="4" s="1"/>
  <c r="M15" i="4" l="1"/>
  <c r="O15" i="4" s="1"/>
  <c r="N16" i="4"/>
  <c r="Q14" i="4"/>
  <c r="U14" i="4" s="1"/>
  <c r="R14" i="4"/>
  <c r="V14" i="4" s="1"/>
  <c r="S14" i="4"/>
  <c r="W14" i="4" s="1"/>
  <c r="P14" i="4"/>
  <c r="T14" i="4" s="1"/>
  <c r="N17" i="4" l="1"/>
  <c r="M16" i="4"/>
  <c r="O16" i="4" s="1"/>
  <c r="S15" i="4"/>
  <c r="W15" i="4" s="1"/>
  <c r="Q15" i="4"/>
  <c r="U15" i="4" s="1"/>
  <c r="R15" i="4"/>
  <c r="V15" i="4" s="1"/>
  <c r="P15" i="4"/>
  <c r="T15" i="4" s="1"/>
  <c r="Q16" i="4" l="1"/>
  <c r="U16" i="4" s="1"/>
  <c r="P16" i="4"/>
  <c r="T16" i="4" s="1"/>
  <c r="S16" i="4"/>
  <c r="W16" i="4" s="1"/>
  <c r="R16" i="4"/>
  <c r="V16" i="4" s="1"/>
  <c r="M17" i="4"/>
  <c r="O17" i="4" s="1"/>
  <c r="N18" i="4"/>
  <c r="N19" i="4" l="1"/>
  <c r="M18" i="4"/>
  <c r="O18" i="4" s="1"/>
  <c r="R17" i="4"/>
  <c r="V17" i="4" s="1"/>
  <c r="Q17" i="4"/>
  <c r="U17" i="4" s="1"/>
  <c r="S17" i="4"/>
  <c r="W17" i="4" s="1"/>
  <c r="P17" i="4"/>
  <c r="T17" i="4" s="1"/>
  <c r="R18" i="4" l="1"/>
  <c r="V18" i="4" s="1"/>
  <c r="P18" i="4"/>
  <c r="T18" i="4" s="1"/>
  <c r="Q18" i="4"/>
  <c r="U18" i="4" s="1"/>
  <c r="S18" i="4"/>
  <c r="W18" i="4" s="1"/>
  <c r="M19" i="4"/>
  <c r="O19" i="4" s="1"/>
  <c r="N20" i="4"/>
  <c r="Q19" i="4" l="1"/>
  <c r="U19" i="4" s="1"/>
  <c r="P19" i="4"/>
  <c r="T19" i="4" s="1"/>
  <c r="S19" i="4"/>
  <c r="W19" i="4" s="1"/>
  <c r="R19" i="4"/>
  <c r="V19" i="4" s="1"/>
  <c r="M20" i="4"/>
  <c r="O20" i="4" s="1"/>
  <c r="N21" i="4"/>
  <c r="M21" i="4" l="1"/>
  <c r="O21" i="4" s="1"/>
  <c r="N22" i="4"/>
  <c r="P20" i="4"/>
  <c r="T20" i="4" s="1"/>
  <c r="Q20" i="4"/>
  <c r="U20" i="4" s="1"/>
  <c r="R20" i="4"/>
  <c r="V20" i="4" s="1"/>
  <c r="S20" i="4"/>
  <c r="W20" i="4" s="1"/>
  <c r="M22" i="4" l="1"/>
  <c r="O22" i="4" s="1"/>
  <c r="N23" i="4"/>
  <c r="Q21" i="4"/>
  <c r="U21" i="4" s="1"/>
  <c r="P21" i="4"/>
  <c r="T21" i="4" s="1"/>
  <c r="S21" i="4"/>
  <c r="W21" i="4" s="1"/>
  <c r="R21" i="4"/>
  <c r="V21" i="4" s="1"/>
  <c r="N24" i="4" l="1"/>
  <c r="M23" i="4"/>
  <c r="O23" i="4" s="1"/>
  <c r="P22" i="4"/>
  <c r="T22" i="4" s="1"/>
  <c r="Q22" i="4"/>
  <c r="U22" i="4" s="1"/>
  <c r="R22" i="4"/>
  <c r="V22" i="4" s="1"/>
  <c r="S22" i="4"/>
  <c r="W22" i="4" s="1"/>
  <c r="M24" i="4" l="1"/>
  <c r="O24" i="4" s="1"/>
  <c r="N25" i="4"/>
  <c r="Q23" i="4"/>
  <c r="U23" i="4" s="1"/>
  <c r="R23" i="4"/>
  <c r="V23" i="4" s="1"/>
  <c r="S23" i="4"/>
  <c r="W23" i="4" s="1"/>
  <c r="P23" i="4"/>
  <c r="T23" i="4" s="1"/>
  <c r="N26" i="4" l="1"/>
  <c r="M25" i="4"/>
  <c r="O25" i="4" s="1"/>
  <c r="R24" i="4"/>
  <c r="V24" i="4" s="1"/>
  <c r="Q24" i="4"/>
  <c r="U24" i="4" s="1"/>
  <c r="S24" i="4"/>
  <c r="W24" i="4" s="1"/>
  <c r="P24" i="4"/>
  <c r="T24" i="4" s="1"/>
  <c r="Q25" i="4" l="1"/>
  <c r="U25" i="4" s="1"/>
  <c r="R25" i="4"/>
  <c r="V25" i="4" s="1"/>
  <c r="P25" i="4"/>
  <c r="T25" i="4" s="1"/>
  <c r="S25" i="4"/>
  <c r="W25" i="4" s="1"/>
  <c r="N27" i="4"/>
  <c r="M26" i="4"/>
  <c r="O26" i="4" s="1"/>
  <c r="N28" i="4" l="1"/>
  <c r="M27" i="4"/>
  <c r="O27" i="4" s="1"/>
  <c r="P26" i="4"/>
  <c r="T26" i="4" s="1"/>
  <c r="R26" i="4"/>
  <c r="V26" i="4" s="1"/>
  <c r="Q26" i="4"/>
  <c r="U26" i="4" s="1"/>
  <c r="S26" i="4"/>
  <c r="W26" i="4" s="1"/>
  <c r="P27" i="4" l="1"/>
  <c r="T27" i="4" s="1"/>
  <c r="R27" i="4"/>
  <c r="V27" i="4" s="1"/>
  <c r="S27" i="4"/>
  <c r="W27" i="4" s="1"/>
  <c r="Q27" i="4"/>
  <c r="U27" i="4" s="1"/>
  <c r="M28" i="4"/>
  <c r="O28" i="4" s="1"/>
  <c r="N29" i="4"/>
  <c r="M29" i="4" l="1"/>
  <c r="O29" i="4" s="1"/>
  <c r="N30" i="4"/>
  <c r="S28" i="4"/>
  <c r="W28" i="4" s="1"/>
  <c r="R28" i="4"/>
  <c r="V28" i="4" s="1"/>
  <c r="Q28" i="4"/>
  <c r="U28" i="4" s="1"/>
  <c r="P28" i="4"/>
  <c r="T28" i="4" s="1"/>
  <c r="M30" i="4" l="1"/>
  <c r="O30" i="4" s="1"/>
  <c r="N31" i="4"/>
  <c r="P29" i="4"/>
  <c r="T29" i="4" s="1"/>
  <c r="Q29" i="4"/>
  <c r="U29" i="4" s="1"/>
  <c r="S29" i="4"/>
  <c r="W29" i="4" s="1"/>
  <c r="R29" i="4"/>
  <c r="V29" i="4" s="1"/>
  <c r="M31" i="4" l="1"/>
  <c r="O31" i="4" s="1"/>
  <c r="N32" i="4"/>
  <c r="P30" i="4"/>
  <c r="T30" i="4" s="1"/>
  <c r="Q30" i="4"/>
  <c r="U30" i="4" s="1"/>
  <c r="R30" i="4"/>
  <c r="V30" i="4" s="1"/>
  <c r="S30" i="4"/>
  <c r="W30" i="4" s="1"/>
  <c r="N33" i="4" l="1"/>
  <c r="M32" i="4"/>
  <c r="O32" i="4" s="1"/>
  <c r="P31" i="4"/>
  <c r="T31" i="4" s="1"/>
  <c r="Q31" i="4"/>
  <c r="U31" i="4" s="1"/>
  <c r="R31" i="4"/>
  <c r="V31" i="4" s="1"/>
  <c r="S31" i="4"/>
  <c r="W31" i="4" s="1"/>
  <c r="P32" i="4" l="1"/>
  <c r="T32" i="4" s="1"/>
  <c r="S32" i="4"/>
  <c r="W32" i="4" s="1"/>
  <c r="R32" i="4"/>
  <c r="V32" i="4" s="1"/>
  <c r="Q32" i="4"/>
  <c r="U32" i="4" s="1"/>
  <c r="N34" i="4"/>
  <c r="M33" i="4"/>
  <c r="O33" i="4" s="1"/>
  <c r="M34" i="4" l="1"/>
  <c r="O34" i="4" s="1"/>
  <c r="N35" i="4"/>
  <c r="P33" i="4"/>
  <c r="T33" i="4" s="1"/>
  <c r="Q33" i="4"/>
  <c r="U33" i="4" s="1"/>
  <c r="R33" i="4"/>
  <c r="V33" i="4" s="1"/>
  <c r="S33" i="4"/>
  <c r="W33" i="4" s="1"/>
  <c r="M35" i="4" l="1"/>
  <c r="O35" i="4" s="1"/>
  <c r="N36" i="4"/>
  <c r="R34" i="4"/>
  <c r="V34" i="4" s="1"/>
  <c r="P34" i="4"/>
  <c r="T34" i="4" s="1"/>
  <c r="S34" i="4"/>
  <c r="W34" i="4" s="1"/>
  <c r="Q34" i="4"/>
  <c r="U34" i="4" s="1"/>
  <c r="M36" i="4" l="1"/>
  <c r="O36" i="4" s="1"/>
  <c r="N37" i="4"/>
  <c r="R35" i="4"/>
  <c r="V35" i="4" s="1"/>
  <c r="P35" i="4"/>
  <c r="T35" i="4" s="1"/>
  <c r="Q35" i="4"/>
  <c r="U35" i="4" s="1"/>
  <c r="S35" i="4"/>
  <c r="W35" i="4" s="1"/>
  <c r="S36" i="4" l="1"/>
  <c r="W36" i="4" s="1"/>
  <c r="P36" i="4"/>
  <c r="T36" i="4" s="1"/>
  <c r="R36" i="4"/>
  <c r="V36" i="4" s="1"/>
  <c r="Q36" i="4"/>
  <c r="U36" i="4" s="1"/>
  <c r="M37" i="4"/>
  <c r="O37" i="4" s="1"/>
  <c r="N38" i="4"/>
  <c r="M38" i="4" l="1"/>
  <c r="O38" i="4" s="1"/>
  <c r="N39" i="4"/>
  <c r="S37" i="4"/>
  <c r="W37" i="4" s="1"/>
  <c r="Q37" i="4"/>
  <c r="U37" i="4" s="1"/>
  <c r="P37" i="4"/>
  <c r="T37" i="4" s="1"/>
  <c r="R37" i="4"/>
  <c r="V37" i="4" s="1"/>
  <c r="N40" i="4" l="1"/>
  <c r="M39" i="4"/>
  <c r="O39" i="4" s="1"/>
  <c r="Q38" i="4"/>
  <c r="U38" i="4" s="1"/>
  <c r="S38" i="4"/>
  <c r="W38" i="4" s="1"/>
  <c r="P38" i="4"/>
  <c r="T38" i="4" s="1"/>
  <c r="R38" i="4"/>
  <c r="V38" i="4" s="1"/>
  <c r="P39" i="4" l="1"/>
  <c r="T39" i="4" s="1"/>
  <c r="Q39" i="4"/>
  <c r="U39" i="4" s="1"/>
  <c r="R39" i="4"/>
  <c r="V39" i="4" s="1"/>
  <c r="S39" i="4"/>
  <c r="W39" i="4" s="1"/>
  <c r="N41" i="4"/>
  <c r="M40" i="4"/>
  <c r="O40" i="4" s="1"/>
  <c r="R40" i="4" l="1"/>
  <c r="V40" i="4" s="1"/>
  <c r="Q40" i="4"/>
  <c r="U40" i="4" s="1"/>
  <c r="P40" i="4"/>
  <c r="T40" i="4" s="1"/>
  <c r="S40" i="4"/>
  <c r="W40" i="4" s="1"/>
  <c r="M41" i="4"/>
  <c r="O41" i="4" s="1"/>
  <c r="N42" i="4"/>
  <c r="R41" i="4" l="1"/>
  <c r="V41" i="4" s="1"/>
  <c r="P41" i="4"/>
  <c r="T41" i="4" s="1"/>
  <c r="Q41" i="4"/>
  <c r="U41" i="4" s="1"/>
  <c r="S41" i="4"/>
  <c r="W41" i="4" s="1"/>
  <c r="N43" i="4"/>
  <c r="M42" i="4"/>
  <c r="O42" i="4" s="1"/>
  <c r="P42" i="4" l="1"/>
  <c r="T42" i="4" s="1"/>
  <c r="R42" i="4"/>
  <c r="V42" i="4" s="1"/>
  <c r="Q42" i="4"/>
  <c r="U42" i="4" s="1"/>
  <c r="S42" i="4"/>
  <c r="W42" i="4" s="1"/>
  <c r="M43" i="4"/>
  <c r="O43" i="4" s="1"/>
  <c r="N44" i="4"/>
  <c r="M44" i="4" l="1"/>
  <c r="O44" i="4" s="1"/>
  <c r="N45" i="4"/>
  <c r="S43" i="4"/>
  <c r="W43" i="4" s="1"/>
  <c r="Q43" i="4"/>
  <c r="U43" i="4" s="1"/>
  <c r="P43" i="4"/>
  <c r="T43" i="4" s="1"/>
  <c r="R43" i="4"/>
  <c r="V43" i="4" s="1"/>
  <c r="M45" i="4" l="1"/>
  <c r="O45" i="4" s="1"/>
  <c r="N46" i="4"/>
  <c r="P44" i="4"/>
  <c r="T44" i="4" s="1"/>
  <c r="S44" i="4"/>
  <c r="W44" i="4" s="1"/>
  <c r="Q44" i="4"/>
  <c r="U44" i="4" s="1"/>
  <c r="R44" i="4"/>
  <c r="V44" i="4" s="1"/>
  <c r="M46" i="4" l="1"/>
  <c r="O46" i="4" s="1"/>
  <c r="N47" i="4"/>
  <c r="R45" i="4"/>
  <c r="V45" i="4" s="1"/>
  <c r="S45" i="4"/>
  <c r="W45" i="4" s="1"/>
  <c r="P45" i="4"/>
  <c r="T45" i="4" s="1"/>
  <c r="Q45" i="4"/>
  <c r="U45" i="4" s="1"/>
  <c r="M47" i="4" l="1"/>
  <c r="O47" i="4" s="1"/>
  <c r="N48" i="4"/>
  <c r="P46" i="4"/>
  <c r="T46" i="4" s="1"/>
  <c r="Q46" i="4"/>
  <c r="U46" i="4" s="1"/>
  <c r="R46" i="4"/>
  <c r="V46" i="4" s="1"/>
  <c r="S46" i="4"/>
  <c r="W46" i="4" s="1"/>
  <c r="N49" i="4" l="1"/>
  <c r="M48" i="4"/>
  <c r="O48" i="4" s="1"/>
  <c r="P47" i="4"/>
  <c r="T47" i="4" s="1"/>
  <c r="S47" i="4"/>
  <c r="W47" i="4" s="1"/>
  <c r="Q47" i="4"/>
  <c r="U47" i="4" s="1"/>
  <c r="R47" i="4"/>
  <c r="V47" i="4" s="1"/>
  <c r="R48" i="4" l="1"/>
  <c r="V48" i="4" s="1"/>
  <c r="P48" i="4"/>
  <c r="T48" i="4" s="1"/>
  <c r="Q48" i="4"/>
  <c r="U48" i="4" s="1"/>
  <c r="S48" i="4"/>
  <c r="W48" i="4" s="1"/>
  <c r="M49" i="4"/>
  <c r="O49" i="4" s="1"/>
  <c r="N50" i="4"/>
  <c r="M50" i="4" l="1"/>
  <c r="O50" i="4" s="1"/>
  <c r="N51" i="4"/>
  <c r="S49" i="4"/>
  <c r="W49" i="4" s="1"/>
  <c r="Q49" i="4"/>
  <c r="U49" i="4" s="1"/>
  <c r="R49" i="4"/>
  <c r="V49" i="4" s="1"/>
  <c r="P49" i="4"/>
  <c r="T49" i="4" s="1"/>
  <c r="M51" i="4" l="1"/>
  <c r="O51" i="4" s="1"/>
  <c r="N52" i="4"/>
  <c r="Q50" i="4"/>
  <c r="U50" i="4" s="1"/>
  <c r="P50" i="4"/>
  <c r="T50" i="4" s="1"/>
  <c r="S50" i="4"/>
  <c r="W50" i="4" s="1"/>
  <c r="R50" i="4"/>
  <c r="V50" i="4" s="1"/>
  <c r="M52" i="4" l="1"/>
  <c r="O52" i="4" s="1"/>
  <c r="N53" i="4"/>
  <c r="R51" i="4"/>
  <c r="V51" i="4" s="1"/>
  <c r="P51" i="4"/>
  <c r="T51" i="4" s="1"/>
  <c r="Q51" i="4"/>
  <c r="U51" i="4" s="1"/>
  <c r="S51" i="4"/>
  <c r="W51" i="4" s="1"/>
  <c r="M53" i="4" l="1"/>
  <c r="O53" i="4" s="1"/>
  <c r="N54" i="4"/>
  <c r="S52" i="4"/>
  <c r="W52" i="4" s="1"/>
  <c r="R52" i="4"/>
  <c r="V52" i="4" s="1"/>
  <c r="Q52" i="4"/>
  <c r="U52" i="4" s="1"/>
  <c r="P52" i="4"/>
  <c r="T52" i="4" s="1"/>
  <c r="M54" i="4" l="1"/>
  <c r="O54" i="4" s="1"/>
  <c r="N55" i="4"/>
  <c r="Q53" i="4"/>
  <c r="U53" i="4" s="1"/>
  <c r="P53" i="4"/>
  <c r="T53" i="4" s="1"/>
  <c r="S53" i="4"/>
  <c r="W53" i="4" s="1"/>
  <c r="R53" i="4"/>
  <c r="V53" i="4" s="1"/>
  <c r="N56" i="4" l="1"/>
  <c r="M55" i="4"/>
  <c r="O55" i="4" s="1"/>
  <c r="Q54" i="4"/>
  <c r="U54" i="4" s="1"/>
  <c r="P54" i="4"/>
  <c r="T54" i="4" s="1"/>
  <c r="R54" i="4"/>
  <c r="V54" i="4" s="1"/>
  <c r="S54" i="4"/>
  <c r="W54" i="4" s="1"/>
  <c r="P55" i="4" l="1"/>
  <c r="T55" i="4" s="1"/>
  <c r="Q55" i="4"/>
  <c r="U55" i="4" s="1"/>
  <c r="S55" i="4"/>
  <c r="W55" i="4" s="1"/>
  <c r="R55" i="4"/>
  <c r="V55" i="4" s="1"/>
  <c r="N57" i="4"/>
  <c r="M56" i="4"/>
  <c r="O56" i="4" s="1"/>
  <c r="Q56" i="4" l="1"/>
  <c r="U56" i="4" s="1"/>
  <c r="S56" i="4"/>
  <c r="W56" i="4" s="1"/>
  <c r="R56" i="4"/>
  <c r="V56" i="4" s="1"/>
  <c r="P56" i="4"/>
  <c r="T56" i="4" s="1"/>
  <c r="M57" i="4"/>
  <c r="O57" i="4" s="1"/>
  <c r="N58" i="4"/>
  <c r="N59" i="4" l="1"/>
  <c r="M58" i="4"/>
  <c r="O58" i="4" s="1"/>
  <c r="P57" i="4"/>
  <c r="T57" i="4" s="1"/>
  <c r="Q57" i="4"/>
  <c r="U57" i="4" s="1"/>
  <c r="S57" i="4"/>
  <c r="W57" i="4" s="1"/>
  <c r="R57" i="4"/>
  <c r="V57" i="4" s="1"/>
  <c r="Q58" i="4" l="1"/>
  <c r="U58" i="4" s="1"/>
  <c r="P58" i="4"/>
  <c r="T58" i="4" s="1"/>
  <c r="R58" i="4"/>
  <c r="V58" i="4" s="1"/>
  <c r="S58" i="4"/>
  <c r="W58" i="4" s="1"/>
  <c r="M59" i="4"/>
  <c r="O59" i="4" s="1"/>
  <c r="N60" i="4"/>
  <c r="M60" i="4" l="1"/>
  <c r="O60" i="4" s="1"/>
  <c r="N61" i="4"/>
  <c r="S59" i="4"/>
  <c r="W59" i="4" s="1"/>
  <c r="R59" i="4"/>
  <c r="V59" i="4" s="1"/>
  <c r="P59" i="4"/>
  <c r="T59" i="4" s="1"/>
  <c r="Q59" i="4"/>
  <c r="U59" i="4" s="1"/>
  <c r="M61" i="4" l="1"/>
  <c r="O61" i="4" s="1"/>
  <c r="N62" i="4"/>
  <c r="Q60" i="4"/>
  <c r="U60" i="4" s="1"/>
  <c r="P60" i="4"/>
  <c r="T60" i="4" s="1"/>
  <c r="R60" i="4"/>
  <c r="V60" i="4" s="1"/>
  <c r="S60" i="4"/>
  <c r="W60" i="4" s="1"/>
  <c r="N63" i="4" l="1"/>
  <c r="M62" i="4"/>
  <c r="O62" i="4" s="1"/>
  <c r="R61" i="4"/>
  <c r="V61" i="4" s="1"/>
  <c r="Q61" i="4"/>
  <c r="U61" i="4" s="1"/>
  <c r="S61" i="4"/>
  <c r="W61" i="4" s="1"/>
  <c r="P61" i="4"/>
  <c r="T61" i="4" s="1"/>
  <c r="P62" i="4" l="1"/>
  <c r="T62" i="4" s="1"/>
  <c r="Q62" i="4"/>
  <c r="U62" i="4" s="1"/>
  <c r="S62" i="4"/>
  <c r="W62" i="4" s="1"/>
  <c r="R62" i="4"/>
  <c r="V62" i="4" s="1"/>
  <c r="M63" i="4"/>
  <c r="O63" i="4" s="1"/>
  <c r="N64" i="4"/>
  <c r="N65" i="4" l="1"/>
  <c r="M64" i="4"/>
  <c r="O64" i="4" s="1"/>
  <c r="Q63" i="4"/>
  <c r="U63" i="4" s="1"/>
  <c r="P63" i="4"/>
  <c r="T63" i="4" s="1"/>
  <c r="S63" i="4"/>
  <c r="W63" i="4" s="1"/>
  <c r="R63" i="4"/>
  <c r="V63" i="4" s="1"/>
  <c r="Q64" i="4" l="1"/>
  <c r="U64" i="4" s="1"/>
  <c r="S64" i="4"/>
  <c r="W64" i="4" s="1"/>
  <c r="P64" i="4"/>
  <c r="T64" i="4" s="1"/>
  <c r="R64" i="4"/>
  <c r="V64" i="4" s="1"/>
  <c r="M65" i="4"/>
  <c r="O65" i="4" s="1"/>
  <c r="N66" i="4"/>
  <c r="P65" i="4" l="1"/>
  <c r="T65" i="4" s="1"/>
  <c r="Q65" i="4"/>
  <c r="U65" i="4" s="1"/>
  <c r="R65" i="4"/>
  <c r="V65" i="4" s="1"/>
  <c r="S65" i="4"/>
  <c r="W65" i="4" s="1"/>
  <c r="M66" i="4"/>
  <c r="O66" i="4" s="1"/>
  <c r="N67" i="4"/>
  <c r="M67" i="4" l="1"/>
  <c r="O67" i="4" s="1"/>
  <c r="N68" i="4"/>
  <c r="P66" i="4"/>
  <c r="T66" i="4" s="1"/>
  <c r="Q66" i="4"/>
  <c r="U66" i="4" s="1"/>
  <c r="S66" i="4"/>
  <c r="W66" i="4" s="1"/>
  <c r="R66" i="4"/>
  <c r="V66" i="4" s="1"/>
  <c r="M68" i="4" l="1"/>
  <c r="O68" i="4" s="1"/>
  <c r="N69" i="4"/>
  <c r="R67" i="4"/>
  <c r="V67" i="4" s="1"/>
  <c r="Q67" i="4"/>
  <c r="U67" i="4" s="1"/>
  <c r="S67" i="4"/>
  <c r="W67" i="4" s="1"/>
  <c r="P67" i="4"/>
  <c r="T67" i="4" s="1"/>
  <c r="M69" i="4" l="1"/>
  <c r="O69" i="4" s="1"/>
  <c r="N70" i="4"/>
  <c r="Q68" i="4"/>
  <c r="U68" i="4" s="1"/>
  <c r="S68" i="4"/>
  <c r="W68" i="4" s="1"/>
  <c r="P68" i="4"/>
  <c r="T68" i="4" s="1"/>
  <c r="R68" i="4"/>
  <c r="V68" i="4" s="1"/>
  <c r="M70" i="4" l="1"/>
  <c r="O70" i="4" s="1"/>
  <c r="N71" i="4"/>
  <c r="P69" i="4"/>
  <c r="T69" i="4" s="1"/>
  <c r="Q69" i="4"/>
  <c r="U69" i="4" s="1"/>
  <c r="R69" i="4"/>
  <c r="V69" i="4" s="1"/>
  <c r="S69" i="4"/>
  <c r="W69" i="4" s="1"/>
  <c r="M71" i="4" l="1"/>
  <c r="O71" i="4" s="1"/>
  <c r="N72" i="4"/>
  <c r="Q70" i="4"/>
  <c r="U70" i="4" s="1"/>
  <c r="P70" i="4"/>
  <c r="T70" i="4" s="1"/>
  <c r="R70" i="4"/>
  <c r="V70" i="4" s="1"/>
  <c r="S70" i="4"/>
  <c r="W70" i="4" s="1"/>
  <c r="N73" i="4" l="1"/>
  <c r="M72" i="4"/>
  <c r="O72" i="4" s="1"/>
  <c r="Q71" i="4"/>
  <c r="U71" i="4" s="1"/>
  <c r="P71" i="4"/>
  <c r="T71" i="4" s="1"/>
  <c r="R71" i="4"/>
  <c r="V71" i="4" s="1"/>
  <c r="S71" i="4"/>
  <c r="W71" i="4" s="1"/>
  <c r="S72" i="4" l="1"/>
  <c r="W72" i="4" s="1"/>
  <c r="R72" i="4"/>
  <c r="V72" i="4" s="1"/>
  <c r="Q72" i="4"/>
  <c r="U72" i="4" s="1"/>
  <c r="P72" i="4"/>
  <c r="T72" i="4" s="1"/>
  <c r="M73" i="4"/>
  <c r="O73" i="4" s="1"/>
  <c r="N74" i="4"/>
  <c r="M74" i="4" l="1"/>
  <c r="O74" i="4" s="1"/>
  <c r="N75" i="4"/>
  <c r="R73" i="4"/>
  <c r="V73" i="4" s="1"/>
  <c r="P73" i="4"/>
  <c r="T73" i="4" s="1"/>
  <c r="S73" i="4"/>
  <c r="W73" i="4" s="1"/>
  <c r="Q73" i="4"/>
  <c r="U73" i="4" s="1"/>
  <c r="M75" i="4" l="1"/>
  <c r="O75" i="4" s="1"/>
  <c r="N76" i="4"/>
  <c r="Q74" i="4"/>
  <c r="U74" i="4" s="1"/>
  <c r="S74" i="4"/>
  <c r="W74" i="4" s="1"/>
  <c r="R74" i="4"/>
  <c r="V74" i="4" s="1"/>
  <c r="P74" i="4"/>
  <c r="T74" i="4" s="1"/>
  <c r="N77" i="4" l="1"/>
  <c r="M76" i="4"/>
  <c r="O76" i="4" s="1"/>
  <c r="R75" i="4"/>
  <c r="V75" i="4" s="1"/>
  <c r="Q75" i="4"/>
  <c r="U75" i="4" s="1"/>
  <c r="S75" i="4"/>
  <c r="W75" i="4" s="1"/>
  <c r="P75" i="4"/>
  <c r="T75" i="4" s="1"/>
  <c r="Q76" i="4" l="1"/>
  <c r="U76" i="4" s="1"/>
  <c r="P76" i="4"/>
  <c r="T76" i="4" s="1"/>
  <c r="R76" i="4"/>
  <c r="V76" i="4" s="1"/>
  <c r="S76" i="4"/>
  <c r="W76" i="4" s="1"/>
  <c r="M77" i="4"/>
  <c r="O77" i="4" s="1"/>
  <c r="N78" i="4"/>
  <c r="M78" i="4" l="1"/>
  <c r="O78" i="4" s="1"/>
  <c r="N79" i="4"/>
  <c r="Q77" i="4"/>
  <c r="U77" i="4" s="1"/>
  <c r="P77" i="4"/>
  <c r="T77" i="4" s="1"/>
  <c r="R77" i="4"/>
  <c r="V77" i="4" s="1"/>
  <c r="S77" i="4"/>
  <c r="W77" i="4" s="1"/>
  <c r="M79" i="4" l="1"/>
  <c r="O79" i="4" s="1"/>
  <c r="N80" i="4"/>
  <c r="Q78" i="4"/>
  <c r="U78" i="4" s="1"/>
  <c r="P78" i="4"/>
  <c r="T78" i="4" s="1"/>
  <c r="S78" i="4"/>
  <c r="W78" i="4" s="1"/>
  <c r="R78" i="4"/>
  <c r="V78" i="4" s="1"/>
  <c r="M80" i="4" l="1"/>
  <c r="O80" i="4" s="1"/>
  <c r="N81" i="4"/>
  <c r="R79" i="4"/>
  <c r="V79" i="4" s="1"/>
  <c r="Q79" i="4"/>
  <c r="U79" i="4" s="1"/>
  <c r="S79" i="4"/>
  <c r="W79" i="4" s="1"/>
  <c r="P79" i="4"/>
  <c r="T79" i="4" s="1"/>
  <c r="M81" i="4" l="1"/>
  <c r="O81" i="4" s="1"/>
  <c r="N82" i="4"/>
  <c r="R80" i="4"/>
  <c r="V80" i="4" s="1"/>
  <c r="S80" i="4"/>
  <c r="W80" i="4" s="1"/>
  <c r="P80" i="4"/>
  <c r="T80" i="4" s="1"/>
  <c r="Q80" i="4"/>
  <c r="U80" i="4" s="1"/>
  <c r="N83" i="4" l="1"/>
  <c r="M82" i="4"/>
  <c r="O82" i="4" s="1"/>
  <c r="Q81" i="4"/>
  <c r="U81" i="4" s="1"/>
  <c r="P81" i="4"/>
  <c r="T81" i="4" s="1"/>
  <c r="R81" i="4"/>
  <c r="V81" i="4" s="1"/>
  <c r="S81" i="4"/>
  <c r="W81" i="4" s="1"/>
  <c r="R82" i="4" l="1"/>
  <c r="V82" i="4" s="1"/>
  <c r="S82" i="4"/>
  <c r="W82" i="4" s="1"/>
  <c r="Q82" i="4"/>
  <c r="U82" i="4" s="1"/>
  <c r="P82" i="4"/>
  <c r="T82" i="4" s="1"/>
  <c r="M83" i="4"/>
  <c r="O83" i="4" s="1"/>
  <c r="N84" i="4"/>
  <c r="P83" i="4" l="1"/>
  <c r="T83" i="4" s="1"/>
  <c r="Q83" i="4"/>
  <c r="U83" i="4" s="1"/>
  <c r="R83" i="4"/>
  <c r="V83" i="4" s="1"/>
  <c r="S83" i="4"/>
  <c r="W83" i="4" s="1"/>
  <c r="N85" i="4"/>
  <c r="M84" i="4"/>
  <c r="O84" i="4" s="1"/>
  <c r="Q84" i="4" l="1"/>
  <c r="U84" i="4" s="1"/>
  <c r="P84" i="4"/>
  <c r="T84" i="4" s="1"/>
  <c r="R84" i="4"/>
  <c r="V84" i="4" s="1"/>
  <c r="S84" i="4"/>
  <c r="W84" i="4" s="1"/>
  <c r="M85" i="4"/>
  <c r="O85" i="4" s="1"/>
  <c r="N86" i="4"/>
  <c r="Q85" i="4" l="1"/>
  <c r="U85" i="4" s="1"/>
  <c r="R85" i="4"/>
  <c r="V85" i="4" s="1"/>
  <c r="P85" i="4"/>
  <c r="T85" i="4" s="1"/>
  <c r="S85" i="4"/>
  <c r="W85" i="4" s="1"/>
  <c r="M86" i="4"/>
  <c r="O86" i="4" s="1"/>
  <c r="N87" i="4"/>
  <c r="M87" i="4" l="1"/>
  <c r="O87" i="4" s="1"/>
  <c r="N88" i="4"/>
  <c r="P86" i="4"/>
  <c r="T86" i="4" s="1"/>
  <c r="Q86" i="4"/>
  <c r="U86" i="4" s="1"/>
  <c r="R86" i="4"/>
  <c r="V86" i="4" s="1"/>
  <c r="S86" i="4"/>
  <c r="W86" i="4" s="1"/>
  <c r="M88" i="4" l="1"/>
  <c r="O88" i="4" s="1"/>
  <c r="N89" i="4"/>
  <c r="Q87" i="4"/>
  <c r="U87" i="4" s="1"/>
  <c r="R87" i="4"/>
  <c r="V87" i="4" s="1"/>
  <c r="S87" i="4"/>
  <c r="W87" i="4" s="1"/>
  <c r="P87" i="4"/>
  <c r="T87" i="4" s="1"/>
  <c r="M89" i="4" l="1"/>
  <c r="O89" i="4" s="1"/>
  <c r="N90" i="4"/>
  <c r="S88" i="4"/>
  <c r="W88" i="4" s="1"/>
  <c r="Q88" i="4"/>
  <c r="U88" i="4" s="1"/>
  <c r="P88" i="4"/>
  <c r="T88" i="4" s="1"/>
  <c r="R88" i="4"/>
  <c r="V88" i="4" s="1"/>
  <c r="N91" i="4" l="1"/>
  <c r="M90" i="4"/>
  <c r="O90" i="4" s="1"/>
  <c r="Q89" i="4"/>
  <c r="U89" i="4" s="1"/>
  <c r="R89" i="4"/>
  <c r="V89" i="4" s="1"/>
  <c r="S89" i="4"/>
  <c r="W89" i="4" s="1"/>
  <c r="P89" i="4"/>
  <c r="T89" i="4" s="1"/>
  <c r="Q90" i="4" l="1"/>
  <c r="U90" i="4" s="1"/>
  <c r="P90" i="4"/>
  <c r="T90" i="4" s="1"/>
  <c r="S90" i="4"/>
  <c r="W90" i="4" s="1"/>
  <c r="R90" i="4"/>
  <c r="V90" i="4" s="1"/>
  <c r="M91" i="4"/>
  <c r="O91" i="4" s="1"/>
  <c r="N92" i="4"/>
  <c r="P91" i="4" l="1"/>
  <c r="T91" i="4" s="1"/>
  <c r="S91" i="4"/>
  <c r="W91" i="4" s="1"/>
  <c r="Q91" i="4"/>
  <c r="U91" i="4" s="1"/>
  <c r="R91" i="4"/>
  <c r="V91" i="4" s="1"/>
  <c r="M92" i="4"/>
  <c r="O92" i="4" s="1"/>
  <c r="N93" i="4"/>
  <c r="M93" i="4" l="1"/>
  <c r="O93" i="4" s="1"/>
  <c r="N94" i="4"/>
  <c r="P92" i="4"/>
  <c r="T92" i="4" s="1"/>
  <c r="Q92" i="4"/>
  <c r="U92" i="4" s="1"/>
  <c r="S92" i="4"/>
  <c r="W92" i="4" s="1"/>
  <c r="R92" i="4"/>
  <c r="V92" i="4" s="1"/>
  <c r="M94" i="4" l="1"/>
  <c r="O94" i="4" s="1"/>
  <c r="N95" i="4"/>
  <c r="P93" i="4"/>
  <c r="T93" i="4" s="1"/>
  <c r="Q93" i="4"/>
  <c r="U93" i="4" s="1"/>
  <c r="S93" i="4"/>
  <c r="W93" i="4" s="1"/>
  <c r="R93" i="4"/>
  <c r="V93" i="4" s="1"/>
  <c r="M95" i="4" l="1"/>
  <c r="O95" i="4" s="1"/>
  <c r="N96" i="4"/>
  <c r="P94" i="4"/>
  <c r="T94" i="4" s="1"/>
  <c r="R94" i="4"/>
  <c r="V94" i="4" s="1"/>
  <c r="S94" i="4"/>
  <c r="W94" i="4" s="1"/>
  <c r="Q94" i="4"/>
  <c r="U94" i="4" s="1"/>
  <c r="M96" i="4" l="1"/>
  <c r="O96" i="4" s="1"/>
  <c r="N97" i="4"/>
  <c r="R95" i="4"/>
  <c r="V95" i="4" s="1"/>
  <c r="Q95" i="4"/>
  <c r="U95" i="4" s="1"/>
  <c r="P95" i="4"/>
  <c r="T95" i="4" s="1"/>
  <c r="S95" i="4"/>
  <c r="W95" i="4" s="1"/>
  <c r="M97" i="4" l="1"/>
  <c r="O97" i="4" s="1"/>
  <c r="N98" i="4"/>
  <c r="Q96" i="4"/>
  <c r="U96" i="4" s="1"/>
  <c r="R96" i="4"/>
  <c r="V96" i="4" s="1"/>
  <c r="P96" i="4"/>
  <c r="T96" i="4" s="1"/>
  <c r="S96" i="4"/>
  <c r="W96" i="4" s="1"/>
  <c r="M98" i="4" l="1"/>
  <c r="O98" i="4" s="1"/>
  <c r="N99" i="4"/>
  <c r="P97" i="4"/>
  <c r="T97" i="4" s="1"/>
  <c r="R97" i="4"/>
  <c r="V97" i="4" s="1"/>
  <c r="Q97" i="4"/>
  <c r="U97" i="4" s="1"/>
  <c r="S97" i="4"/>
  <c r="W97" i="4" s="1"/>
  <c r="N100" i="4" l="1"/>
  <c r="M99" i="4"/>
  <c r="O99" i="4" s="1"/>
  <c r="Q98" i="4"/>
  <c r="U98" i="4" s="1"/>
  <c r="P98" i="4"/>
  <c r="T98" i="4" s="1"/>
  <c r="R98" i="4"/>
  <c r="V98" i="4" s="1"/>
  <c r="S98" i="4"/>
  <c r="W98" i="4" s="1"/>
  <c r="Q99" i="4" l="1"/>
  <c r="U99" i="4" s="1"/>
  <c r="P99" i="4"/>
  <c r="T99" i="4" s="1"/>
  <c r="R99" i="4"/>
  <c r="V99" i="4" s="1"/>
  <c r="S99" i="4"/>
  <c r="W99" i="4" s="1"/>
  <c r="M100" i="4"/>
  <c r="O100" i="4" s="1"/>
  <c r="N101" i="4"/>
  <c r="M101" i="4" l="1"/>
  <c r="O101" i="4" s="1"/>
  <c r="N102" i="4"/>
  <c r="P100" i="4"/>
  <c r="T100" i="4" s="1"/>
  <c r="Q100" i="4"/>
  <c r="U100" i="4" s="1"/>
  <c r="R100" i="4"/>
  <c r="V100" i="4" s="1"/>
  <c r="S100" i="4"/>
  <c r="W100" i="4" s="1"/>
  <c r="M102" i="4" l="1"/>
  <c r="O102" i="4" s="1"/>
  <c r="N103" i="4"/>
  <c r="R101" i="4"/>
  <c r="V101" i="4" s="1"/>
  <c r="P101" i="4"/>
  <c r="T101" i="4" s="1"/>
  <c r="S101" i="4"/>
  <c r="W101" i="4" s="1"/>
  <c r="Q101" i="4"/>
  <c r="U101" i="4" s="1"/>
  <c r="M103" i="4" l="1"/>
  <c r="O103" i="4" s="1"/>
  <c r="N104" i="4"/>
  <c r="Q102" i="4"/>
  <c r="U102" i="4" s="1"/>
  <c r="S102" i="4"/>
  <c r="W102" i="4" s="1"/>
  <c r="R102" i="4"/>
  <c r="V102" i="4" s="1"/>
  <c r="P102" i="4"/>
  <c r="T102" i="4" s="1"/>
  <c r="M104" i="4" l="1"/>
  <c r="O104" i="4" s="1"/>
  <c r="N105" i="4"/>
  <c r="P103" i="4"/>
  <c r="T103" i="4" s="1"/>
  <c r="S103" i="4"/>
  <c r="W103" i="4" s="1"/>
  <c r="R103" i="4"/>
  <c r="V103" i="4" s="1"/>
  <c r="Q103" i="4"/>
  <c r="U103" i="4" s="1"/>
  <c r="M105" i="4" l="1"/>
  <c r="O105" i="4" s="1"/>
  <c r="N106" i="4"/>
  <c r="P104" i="4"/>
  <c r="T104" i="4" s="1"/>
  <c r="S104" i="4"/>
  <c r="W104" i="4" s="1"/>
  <c r="R104" i="4"/>
  <c r="V104" i="4" s="1"/>
  <c r="Q104" i="4"/>
  <c r="U104" i="4" s="1"/>
  <c r="M106" i="4" l="1"/>
  <c r="O106" i="4" s="1"/>
  <c r="N107" i="4"/>
  <c r="Q105" i="4"/>
  <c r="U105" i="4" s="1"/>
  <c r="S105" i="4"/>
  <c r="W105" i="4" s="1"/>
  <c r="R105" i="4"/>
  <c r="V105" i="4" s="1"/>
  <c r="P105" i="4"/>
  <c r="T105" i="4" s="1"/>
  <c r="M107" i="4" l="1"/>
  <c r="O107" i="4" s="1"/>
  <c r="N108" i="4"/>
  <c r="S106" i="4"/>
  <c r="W106" i="4" s="1"/>
  <c r="R106" i="4"/>
  <c r="V106" i="4" s="1"/>
  <c r="Q106" i="4"/>
  <c r="U106" i="4" s="1"/>
  <c r="P106" i="4"/>
  <c r="T106" i="4" s="1"/>
  <c r="M108" i="4" l="1"/>
  <c r="O108" i="4" s="1"/>
  <c r="N109" i="4"/>
  <c r="Q107" i="4"/>
  <c r="U107" i="4" s="1"/>
  <c r="P107" i="4"/>
  <c r="T107" i="4" s="1"/>
  <c r="S107" i="4"/>
  <c r="W107" i="4" s="1"/>
  <c r="R107" i="4"/>
  <c r="V107" i="4" s="1"/>
  <c r="M109" i="4" l="1"/>
  <c r="O109" i="4" s="1"/>
  <c r="N110" i="4"/>
  <c r="P108" i="4"/>
  <c r="T108" i="4" s="1"/>
  <c r="S108" i="4"/>
  <c r="W108" i="4" s="1"/>
  <c r="R108" i="4"/>
  <c r="V108" i="4" s="1"/>
  <c r="Q108" i="4"/>
  <c r="U108" i="4" s="1"/>
  <c r="M110" i="4" l="1"/>
  <c r="O110" i="4" s="1"/>
  <c r="N111" i="4"/>
  <c r="R109" i="4"/>
  <c r="V109" i="4" s="1"/>
  <c r="S109" i="4"/>
  <c r="W109" i="4" s="1"/>
  <c r="P109" i="4"/>
  <c r="T109" i="4" s="1"/>
  <c r="Q109" i="4"/>
  <c r="U109" i="4" s="1"/>
  <c r="M111" i="4" l="1"/>
  <c r="O111" i="4" s="1"/>
  <c r="N112" i="4"/>
  <c r="P110" i="4"/>
  <c r="T110" i="4" s="1"/>
  <c r="Q110" i="4"/>
  <c r="U110" i="4" s="1"/>
  <c r="S110" i="4"/>
  <c r="W110" i="4" s="1"/>
  <c r="R110" i="4"/>
  <c r="V110" i="4" s="1"/>
  <c r="M112" i="4" l="1"/>
  <c r="O112" i="4" s="1"/>
  <c r="N113" i="4"/>
  <c r="S111" i="4"/>
  <c r="W111" i="4" s="1"/>
  <c r="Q111" i="4"/>
  <c r="U111" i="4" s="1"/>
  <c r="P111" i="4"/>
  <c r="T111" i="4" s="1"/>
  <c r="R111" i="4"/>
  <c r="V111" i="4" s="1"/>
  <c r="M113" i="4" l="1"/>
  <c r="O113" i="4" s="1"/>
  <c r="N114" i="4"/>
  <c r="Q112" i="4"/>
  <c r="U112" i="4" s="1"/>
  <c r="P112" i="4"/>
  <c r="T112" i="4" s="1"/>
  <c r="S112" i="4"/>
  <c r="W112" i="4" s="1"/>
  <c r="R112" i="4"/>
  <c r="V112" i="4" s="1"/>
  <c r="N115" i="4" l="1"/>
  <c r="M114" i="4"/>
  <c r="O114" i="4" s="1"/>
  <c r="R113" i="4"/>
  <c r="V113" i="4" s="1"/>
  <c r="S113" i="4"/>
  <c r="W113" i="4" s="1"/>
  <c r="P113" i="4"/>
  <c r="T113" i="4" s="1"/>
  <c r="Q113" i="4"/>
  <c r="U113" i="4" s="1"/>
  <c r="P114" i="4" l="1"/>
  <c r="T114" i="4" s="1"/>
  <c r="S114" i="4"/>
  <c r="W114" i="4" s="1"/>
  <c r="R114" i="4"/>
  <c r="V114" i="4" s="1"/>
  <c r="Q114" i="4"/>
  <c r="U114" i="4" s="1"/>
  <c r="N116" i="4"/>
  <c r="M115" i="4"/>
  <c r="O115" i="4" s="1"/>
  <c r="Q115" i="4" l="1"/>
  <c r="U115" i="4" s="1"/>
  <c r="S115" i="4"/>
  <c r="W115" i="4" s="1"/>
  <c r="P115" i="4"/>
  <c r="T115" i="4" s="1"/>
  <c r="R115" i="4"/>
  <c r="V115" i="4" s="1"/>
  <c r="N117" i="4"/>
  <c r="M116" i="4"/>
  <c r="O116" i="4" s="1"/>
  <c r="P116" i="4" l="1"/>
  <c r="T116" i="4" s="1"/>
  <c r="Q116" i="4"/>
  <c r="U116" i="4" s="1"/>
  <c r="S116" i="4"/>
  <c r="W116" i="4" s="1"/>
  <c r="R116" i="4"/>
  <c r="V116" i="4" s="1"/>
  <c r="M117" i="4"/>
  <c r="O117" i="4" s="1"/>
  <c r="N118" i="4"/>
  <c r="N119" i="4" l="1"/>
  <c r="M118" i="4"/>
  <c r="O118" i="4" s="1"/>
  <c r="P117" i="4"/>
  <c r="T117" i="4" s="1"/>
  <c r="R117" i="4"/>
  <c r="V117" i="4" s="1"/>
  <c r="Q117" i="4"/>
  <c r="U117" i="4" s="1"/>
  <c r="S117" i="4"/>
  <c r="W117" i="4" s="1"/>
  <c r="Q118" i="4" l="1"/>
  <c r="U118" i="4" s="1"/>
  <c r="P118" i="4"/>
  <c r="T118" i="4" s="1"/>
  <c r="R118" i="4"/>
  <c r="V118" i="4" s="1"/>
  <c r="S118" i="4"/>
  <c r="W118" i="4" s="1"/>
  <c r="M119" i="4"/>
  <c r="O119" i="4" s="1"/>
  <c r="N120" i="4"/>
  <c r="M120" i="4" l="1"/>
  <c r="O120" i="4" s="1"/>
  <c r="N121" i="4"/>
  <c r="P119" i="4"/>
  <c r="T119" i="4" s="1"/>
  <c r="S119" i="4"/>
  <c r="W119" i="4" s="1"/>
  <c r="R119" i="4"/>
  <c r="V119" i="4" s="1"/>
  <c r="Q119" i="4"/>
  <c r="U119" i="4" s="1"/>
  <c r="M121" i="4" l="1"/>
  <c r="O121" i="4" s="1"/>
  <c r="N122" i="4"/>
  <c r="Q120" i="4"/>
  <c r="U120" i="4" s="1"/>
  <c r="S120" i="4"/>
  <c r="W120" i="4" s="1"/>
  <c r="R120" i="4"/>
  <c r="V120" i="4" s="1"/>
  <c r="P120" i="4"/>
  <c r="T120" i="4" s="1"/>
  <c r="N123" i="4" l="1"/>
  <c r="M122" i="4"/>
  <c r="O122" i="4" s="1"/>
  <c r="R121" i="4"/>
  <c r="V121" i="4" s="1"/>
  <c r="Q121" i="4"/>
  <c r="U121" i="4" s="1"/>
  <c r="P121" i="4"/>
  <c r="T121" i="4" s="1"/>
  <c r="S121" i="4"/>
  <c r="W121" i="4" s="1"/>
  <c r="Q122" i="4" l="1"/>
  <c r="U122" i="4" s="1"/>
  <c r="S122" i="4"/>
  <c r="W122" i="4" s="1"/>
  <c r="P122" i="4"/>
  <c r="T122" i="4" s="1"/>
  <c r="R122" i="4"/>
  <c r="V122" i="4" s="1"/>
  <c r="N124" i="4"/>
  <c r="M123" i="4"/>
  <c r="O123" i="4" s="1"/>
  <c r="P123" i="4" l="1"/>
  <c r="T123" i="4" s="1"/>
  <c r="Q123" i="4"/>
  <c r="U123" i="4" s="1"/>
  <c r="S123" i="4"/>
  <c r="W123" i="4" s="1"/>
  <c r="R123" i="4"/>
  <c r="V123" i="4" s="1"/>
  <c r="N125" i="4"/>
  <c r="M124" i="4"/>
  <c r="O124" i="4" s="1"/>
  <c r="Q124" i="4" l="1"/>
  <c r="U124" i="4" s="1"/>
  <c r="P124" i="4"/>
  <c r="T124" i="4" s="1"/>
  <c r="S124" i="4"/>
  <c r="W124" i="4" s="1"/>
  <c r="R124" i="4"/>
  <c r="V124" i="4" s="1"/>
  <c r="M125" i="4"/>
  <c r="O125" i="4" s="1"/>
  <c r="N126" i="4"/>
  <c r="M126" i="4" l="1"/>
  <c r="O126" i="4" s="1"/>
  <c r="N127" i="4"/>
  <c r="R125" i="4"/>
  <c r="V125" i="4" s="1"/>
  <c r="Q125" i="4"/>
  <c r="U125" i="4" s="1"/>
  <c r="S125" i="4"/>
  <c r="W125" i="4" s="1"/>
  <c r="P125" i="4"/>
  <c r="T125" i="4" s="1"/>
  <c r="M127" i="4" l="1"/>
  <c r="O127" i="4" s="1"/>
  <c r="N128" i="4"/>
  <c r="Q126" i="4"/>
  <c r="U126" i="4" s="1"/>
  <c r="P126" i="4"/>
  <c r="T126" i="4" s="1"/>
  <c r="R126" i="4"/>
  <c r="V126" i="4" s="1"/>
  <c r="S126" i="4"/>
  <c r="W126" i="4" s="1"/>
  <c r="M128" i="4" l="1"/>
  <c r="O128" i="4" s="1"/>
  <c r="N129" i="4"/>
  <c r="Q127" i="4"/>
  <c r="U127" i="4" s="1"/>
  <c r="P127" i="4"/>
  <c r="T127" i="4" s="1"/>
  <c r="R127" i="4"/>
  <c r="V127" i="4" s="1"/>
  <c r="S127" i="4"/>
  <c r="W127" i="4" s="1"/>
  <c r="M129" i="4" l="1"/>
  <c r="O129" i="4" s="1"/>
  <c r="N130" i="4"/>
  <c r="P128" i="4"/>
  <c r="T128" i="4" s="1"/>
  <c r="Q128" i="4"/>
  <c r="U128" i="4" s="1"/>
  <c r="R128" i="4"/>
  <c r="V128" i="4" s="1"/>
  <c r="S128" i="4"/>
  <c r="W128" i="4" s="1"/>
  <c r="N131" i="4" l="1"/>
  <c r="M130" i="4"/>
  <c r="O130" i="4" s="1"/>
  <c r="R129" i="4"/>
  <c r="V129" i="4" s="1"/>
  <c r="Q129" i="4"/>
  <c r="U129" i="4" s="1"/>
  <c r="P129" i="4"/>
  <c r="T129" i="4" s="1"/>
  <c r="S129" i="4"/>
  <c r="W129" i="4" s="1"/>
  <c r="Q130" i="4" l="1"/>
  <c r="U130" i="4" s="1"/>
  <c r="S130" i="4"/>
  <c r="W130" i="4" s="1"/>
  <c r="P130" i="4"/>
  <c r="T130" i="4" s="1"/>
  <c r="R130" i="4"/>
  <c r="V130" i="4" s="1"/>
  <c r="N132" i="4"/>
  <c r="M131" i="4"/>
  <c r="O131" i="4" s="1"/>
  <c r="P131" i="4" l="1"/>
  <c r="T131" i="4" s="1"/>
  <c r="S131" i="4"/>
  <c r="W131" i="4" s="1"/>
  <c r="Q131" i="4"/>
  <c r="U131" i="4" s="1"/>
  <c r="R131" i="4"/>
  <c r="V131" i="4" s="1"/>
  <c r="N133" i="4"/>
  <c r="M132" i="4"/>
  <c r="O132" i="4" s="1"/>
  <c r="R132" i="4" l="1"/>
  <c r="V132" i="4" s="1"/>
  <c r="Q132" i="4"/>
  <c r="U132" i="4" s="1"/>
  <c r="S132" i="4"/>
  <c r="W132" i="4" s="1"/>
  <c r="P132" i="4"/>
  <c r="T132" i="4" s="1"/>
  <c r="M133" i="4"/>
  <c r="O133" i="4" s="1"/>
  <c r="N134" i="4"/>
  <c r="M134" i="4" l="1"/>
  <c r="O134" i="4" s="1"/>
  <c r="N135" i="4"/>
  <c r="Q133" i="4"/>
  <c r="U133" i="4" s="1"/>
  <c r="P133" i="4"/>
  <c r="T133" i="4" s="1"/>
  <c r="R133" i="4"/>
  <c r="V133" i="4" s="1"/>
  <c r="S133" i="4"/>
  <c r="W133" i="4" s="1"/>
  <c r="M135" i="4" l="1"/>
  <c r="O135" i="4" s="1"/>
  <c r="N136" i="4"/>
  <c r="P134" i="4"/>
  <c r="T134" i="4" s="1"/>
  <c r="Q134" i="4"/>
  <c r="U134" i="4" s="1"/>
  <c r="S134" i="4"/>
  <c r="W134" i="4" s="1"/>
  <c r="R134" i="4"/>
  <c r="V134" i="4" s="1"/>
  <c r="M136" i="4" l="1"/>
  <c r="O136" i="4" s="1"/>
  <c r="N137" i="4"/>
  <c r="Q135" i="4"/>
  <c r="U135" i="4" s="1"/>
  <c r="S135" i="4"/>
  <c r="W135" i="4" s="1"/>
  <c r="R135" i="4"/>
  <c r="V135" i="4" s="1"/>
  <c r="P135" i="4"/>
  <c r="T135" i="4" s="1"/>
  <c r="M137" i="4" l="1"/>
  <c r="O137" i="4" s="1"/>
  <c r="N138" i="4"/>
  <c r="S136" i="4"/>
  <c r="W136" i="4" s="1"/>
  <c r="P136" i="4"/>
  <c r="T136" i="4" s="1"/>
  <c r="Q136" i="4"/>
  <c r="U136" i="4" s="1"/>
  <c r="R136" i="4"/>
  <c r="V136" i="4" s="1"/>
  <c r="N139" i="4" l="1"/>
  <c r="M138" i="4"/>
  <c r="O138" i="4" s="1"/>
  <c r="P137" i="4"/>
  <c r="T137" i="4" s="1"/>
  <c r="R137" i="4"/>
  <c r="V137" i="4" s="1"/>
  <c r="Q137" i="4"/>
  <c r="U137" i="4" s="1"/>
  <c r="S137" i="4"/>
  <c r="W137" i="4" s="1"/>
  <c r="S138" i="4" l="1"/>
  <c r="W138" i="4" s="1"/>
  <c r="Q138" i="4"/>
  <c r="U138" i="4" s="1"/>
  <c r="R138" i="4"/>
  <c r="V138" i="4" s="1"/>
  <c r="P138" i="4"/>
  <c r="T138" i="4" s="1"/>
  <c r="M139" i="4"/>
  <c r="O139" i="4" s="1"/>
  <c r="N140" i="4"/>
  <c r="N141" i="4" l="1"/>
  <c r="M140" i="4"/>
  <c r="O140" i="4" s="1"/>
  <c r="P139" i="4"/>
  <c r="T139" i="4" s="1"/>
  <c r="Q139" i="4"/>
  <c r="U139" i="4" s="1"/>
  <c r="R139" i="4"/>
  <c r="V139" i="4" s="1"/>
  <c r="S139" i="4"/>
  <c r="W139" i="4" s="1"/>
  <c r="P140" i="4" l="1"/>
  <c r="T140" i="4" s="1"/>
  <c r="Q140" i="4"/>
  <c r="U140" i="4" s="1"/>
  <c r="R140" i="4"/>
  <c r="V140" i="4" s="1"/>
  <c r="S140" i="4"/>
  <c r="W140" i="4" s="1"/>
  <c r="M141" i="4"/>
  <c r="O141" i="4" s="1"/>
  <c r="N142" i="4"/>
  <c r="M142" i="4" l="1"/>
  <c r="O142" i="4" s="1"/>
  <c r="N143" i="4"/>
  <c r="R141" i="4"/>
  <c r="V141" i="4" s="1"/>
  <c r="S141" i="4"/>
  <c r="W141" i="4" s="1"/>
  <c r="Q141" i="4"/>
  <c r="U141" i="4" s="1"/>
  <c r="P141" i="4"/>
  <c r="T141" i="4" s="1"/>
  <c r="M143" i="4" l="1"/>
  <c r="O143" i="4" s="1"/>
  <c r="N144" i="4"/>
  <c r="P142" i="4"/>
  <c r="T142" i="4" s="1"/>
  <c r="R142" i="4"/>
  <c r="V142" i="4" s="1"/>
  <c r="Q142" i="4"/>
  <c r="U142" i="4" s="1"/>
  <c r="S142" i="4"/>
  <c r="W142" i="4" s="1"/>
  <c r="M144" i="4" l="1"/>
  <c r="O144" i="4" s="1"/>
  <c r="N145" i="4"/>
  <c r="P143" i="4"/>
  <c r="T143" i="4" s="1"/>
  <c r="Q143" i="4"/>
  <c r="U143" i="4" s="1"/>
  <c r="S143" i="4"/>
  <c r="W143" i="4" s="1"/>
  <c r="R143" i="4"/>
  <c r="V143" i="4" s="1"/>
  <c r="M145" i="4" l="1"/>
  <c r="O145" i="4" s="1"/>
  <c r="N146" i="4"/>
  <c r="Q144" i="4"/>
  <c r="U144" i="4" s="1"/>
  <c r="S144" i="4"/>
  <c r="W144" i="4" s="1"/>
  <c r="P144" i="4"/>
  <c r="T144" i="4" s="1"/>
  <c r="R144" i="4"/>
  <c r="V144" i="4" s="1"/>
  <c r="N147" i="4" l="1"/>
  <c r="M146" i="4"/>
  <c r="O146" i="4" s="1"/>
  <c r="R145" i="4"/>
  <c r="V145" i="4" s="1"/>
  <c r="P145" i="4"/>
  <c r="T145" i="4" s="1"/>
  <c r="Q145" i="4"/>
  <c r="U145" i="4" s="1"/>
  <c r="S145" i="4"/>
  <c r="W145" i="4" s="1"/>
  <c r="P146" i="4" l="1"/>
  <c r="T146" i="4" s="1"/>
  <c r="S146" i="4"/>
  <c r="W146" i="4" s="1"/>
  <c r="Q146" i="4"/>
  <c r="U146" i="4" s="1"/>
  <c r="R146" i="4"/>
  <c r="V146" i="4" s="1"/>
  <c r="N148" i="4"/>
  <c r="M147" i="4"/>
  <c r="O147" i="4" s="1"/>
  <c r="P147" i="4" l="1"/>
  <c r="T147" i="4" s="1"/>
  <c r="R147" i="4"/>
  <c r="V147" i="4" s="1"/>
  <c r="Q147" i="4"/>
  <c r="U147" i="4" s="1"/>
  <c r="S147" i="4"/>
  <c r="W147" i="4" s="1"/>
  <c r="N149" i="4"/>
  <c r="M148" i="4"/>
  <c r="O148" i="4" s="1"/>
  <c r="P148" i="4" l="1"/>
  <c r="T148" i="4" s="1"/>
  <c r="R148" i="4"/>
  <c r="V148" i="4" s="1"/>
  <c r="S148" i="4"/>
  <c r="W148" i="4" s="1"/>
  <c r="Q148" i="4"/>
  <c r="U148" i="4" s="1"/>
  <c r="M149" i="4"/>
  <c r="O149" i="4" s="1"/>
  <c r="N150" i="4"/>
  <c r="M150" i="4" l="1"/>
  <c r="O150" i="4" s="1"/>
  <c r="N151" i="4"/>
  <c r="Q149" i="4"/>
  <c r="U149" i="4" s="1"/>
  <c r="R149" i="4"/>
  <c r="V149" i="4" s="1"/>
  <c r="P149" i="4"/>
  <c r="T149" i="4" s="1"/>
  <c r="S149" i="4"/>
  <c r="W149" i="4" s="1"/>
  <c r="M151" i="4" l="1"/>
  <c r="O151" i="4" s="1"/>
  <c r="N152" i="4"/>
  <c r="Q150" i="4"/>
  <c r="U150" i="4" s="1"/>
  <c r="P150" i="4"/>
  <c r="T150" i="4" s="1"/>
  <c r="S150" i="4"/>
  <c r="W150" i="4" s="1"/>
  <c r="R150" i="4"/>
  <c r="V150" i="4" s="1"/>
  <c r="N153" i="4" l="1"/>
  <c r="M152" i="4"/>
  <c r="O152" i="4" s="1"/>
  <c r="P151" i="4"/>
  <c r="T151" i="4" s="1"/>
  <c r="R151" i="4"/>
  <c r="V151" i="4" s="1"/>
  <c r="Q151" i="4"/>
  <c r="U151" i="4" s="1"/>
  <c r="S151" i="4"/>
  <c r="W151" i="4" s="1"/>
  <c r="Q152" i="4" l="1"/>
  <c r="U152" i="4" s="1"/>
  <c r="S152" i="4"/>
  <c r="W152" i="4" s="1"/>
  <c r="P152" i="4"/>
  <c r="T152" i="4" s="1"/>
  <c r="R152" i="4"/>
  <c r="V152" i="4" s="1"/>
  <c r="N154" i="4"/>
  <c r="M153" i="4"/>
  <c r="O153" i="4" s="1"/>
  <c r="S153" i="4" l="1"/>
  <c r="W153" i="4" s="1"/>
  <c r="R153" i="4"/>
  <c r="V153" i="4" s="1"/>
  <c r="P153" i="4"/>
  <c r="T153" i="4" s="1"/>
  <c r="Q153" i="4"/>
  <c r="U153" i="4" s="1"/>
  <c r="N155" i="4"/>
  <c r="M154" i="4"/>
  <c r="O154" i="4" s="1"/>
  <c r="S154" i="4" l="1"/>
  <c r="W154" i="4" s="1"/>
  <c r="R154" i="4"/>
  <c r="V154" i="4" s="1"/>
  <c r="Q154" i="4"/>
  <c r="U154" i="4" s="1"/>
  <c r="P154" i="4"/>
  <c r="T154" i="4" s="1"/>
  <c r="M155" i="4"/>
  <c r="O155" i="4" s="1"/>
  <c r="N156" i="4"/>
  <c r="P155" i="4" l="1"/>
  <c r="T155" i="4" s="1"/>
  <c r="S155" i="4"/>
  <c r="W155" i="4" s="1"/>
  <c r="R155" i="4"/>
  <c r="V155" i="4" s="1"/>
  <c r="Q155" i="4"/>
  <c r="U155" i="4" s="1"/>
  <c r="N157" i="4"/>
  <c r="M156" i="4"/>
  <c r="O156" i="4" s="1"/>
  <c r="P156" i="4" l="1"/>
  <c r="T156" i="4" s="1"/>
  <c r="Q156" i="4"/>
  <c r="U156" i="4" s="1"/>
  <c r="R156" i="4"/>
  <c r="V156" i="4" s="1"/>
  <c r="S156" i="4"/>
  <c r="W156" i="4" s="1"/>
  <c r="M157" i="4"/>
  <c r="O157" i="4" s="1"/>
  <c r="N158" i="4"/>
  <c r="M158" i="4" l="1"/>
  <c r="O158" i="4" s="1"/>
  <c r="N159" i="4"/>
  <c r="Q157" i="4"/>
  <c r="U157" i="4" s="1"/>
  <c r="P157" i="4"/>
  <c r="T157" i="4" s="1"/>
  <c r="R157" i="4"/>
  <c r="V157" i="4" s="1"/>
  <c r="S157" i="4"/>
  <c r="W157" i="4" s="1"/>
  <c r="M159" i="4" l="1"/>
  <c r="O159" i="4" s="1"/>
  <c r="N160" i="4"/>
  <c r="Q158" i="4"/>
  <c r="U158" i="4" s="1"/>
  <c r="S158" i="4"/>
  <c r="W158" i="4" s="1"/>
  <c r="P158" i="4"/>
  <c r="T158" i="4" s="1"/>
  <c r="R158" i="4"/>
  <c r="V158" i="4" s="1"/>
  <c r="M160" i="4" l="1"/>
  <c r="O160" i="4" s="1"/>
  <c r="N161" i="4"/>
  <c r="Q159" i="4"/>
  <c r="U159" i="4" s="1"/>
  <c r="R159" i="4"/>
  <c r="V159" i="4" s="1"/>
  <c r="S159" i="4"/>
  <c r="W159" i="4" s="1"/>
  <c r="P159" i="4"/>
  <c r="T159" i="4" s="1"/>
  <c r="N162" i="4" l="1"/>
  <c r="M161" i="4"/>
  <c r="O161" i="4" s="1"/>
  <c r="P160" i="4"/>
  <c r="T160" i="4" s="1"/>
  <c r="Q160" i="4"/>
  <c r="U160" i="4" s="1"/>
  <c r="R160" i="4"/>
  <c r="V160" i="4" s="1"/>
  <c r="S160" i="4"/>
  <c r="W160" i="4" s="1"/>
  <c r="P161" i="4" l="1"/>
  <c r="T161" i="4" s="1"/>
  <c r="Q161" i="4"/>
  <c r="U161" i="4" s="1"/>
  <c r="R161" i="4"/>
  <c r="V161" i="4" s="1"/>
  <c r="S161" i="4"/>
  <c r="W161" i="4" s="1"/>
  <c r="N163" i="4"/>
  <c r="M162" i="4"/>
  <c r="O162" i="4" s="1"/>
  <c r="Q162" i="4" l="1"/>
  <c r="U162" i="4" s="1"/>
  <c r="P162" i="4"/>
  <c r="T162" i="4" s="1"/>
  <c r="R162" i="4"/>
  <c r="V162" i="4" s="1"/>
  <c r="S162" i="4"/>
  <c r="W162" i="4" s="1"/>
  <c r="N164" i="4"/>
  <c r="M163" i="4"/>
  <c r="O163" i="4" s="1"/>
  <c r="Q163" i="4" l="1"/>
  <c r="U163" i="4" s="1"/>
  <c r="R163" i="4"/>
  <c r="V163" i="4" s="1"/>
  <c r="S163" i="4"/>
  <c r="W163" i="4" s="1"/>
  <c r="P163" i="4"/>
  <c r="T163" i="4" s="1"/>
  <c r="M164" i="4"/>
  <c r="O164" i="4" s="1"/>
  <c r="N165" i="4"/>
  <c r="M165" i="4" l="1"/>
  <c r="O165" i="4" s="1"/>
  <c r="N166" i="4"/>
  <c r="P164" i="4"/>
  <c r="T164" i="4" s="1"/>
  <c r="R164" i="4"/>
  <c r="V164" i="4" s="1"/>
  <c r="S164" i="4"/>
  <c r="W164" i="4" s="1"/>
  <c r="Q164" i="4"/>
  <c r="U164" i="4" s="1"/>
  <c r="M166" i="4" l="1"/>
  <c r="O166" i="4" s="1"/>
  <c r="N167" i="4"/>
  <c r="R165" i="4"/>
  <c r="V165" i="4" s="1"/>
  <c r="S165" i="4"/>
  <c r="W165" i="4" s="1"/>
  <c r="P165" i="4"/>
  <c r="T165" i="4" s="1"/>
  <c r="Q165" i="4"/>
  <c r="U165" i="4" s="1"/>
  <c r="M167" i="4" l="1"/>
  <c r="O167" i="4" s="1"/>
  <c r="N168" i="4"/>
  <c r="P166" i="4"/>
  <c r="T166" i="4" s="1"/>
  <c r="R166" i="4"/>
  <c r="V166" i="4" s="1"/>
  <c r="S166" i="4"/>
  <c r="W166" i="4" s="1"/>
  <c r="Q166" i="4"/>
  <c r="U166" i="4" s="1"/>
  <c r="N169" i="4" l="1"/>
  <c r="M168" i="4"/>
  <c r="O168" i="4" s="1"/>
  <c r="Q167" i="4"/>
  <c r="U167" i="4" s="1"/>
  <c r="P167" i="4"/>
  <c r="T167" i="4" s="1"/>
  <c r="R167" i="4"/>
  <c r="V167" i="4" s="1"/>
  <c r="S167" i="4"/>
  <c r="W167" i="4" s="1"/>
  <c r="Q168" i="4" l="1"/>
  <c r="U168" i="4" s="1"/>
  <c r="P168" i="4"/>
  <c r="T168" i="4" s="1"/>
  <c r="S168" i="4"/>
  <c r="W168" i="4" s="1"/>
  <c r="R168" i="4"/>
  <c r="V168" i="4" s="1"/>
  <c r="M169" i="4"/>
  <c r="O169" i="4" s="1"/>
  <c r="N170" i="4"/>
  <c r="M170" i="4" l="1"/>
  <c r="O170" i="4" s="1"/>
  <c r="N171" i="4"/>
  <c r="P169" i="4"/>
  <c r="T169" i="4" s="1"/>
  <c r="R169" i="4"/>
  <c r="V169" i="4" s="1"/>
  <c r="Q169" i="4"/>
  <c r="U169" i="4" s="1"/>
  <c r="S169" i="4"/>
  <c r="W169" i="4" s="1"/>
  <c r="N172" i="4" l="1"/>
  <c r="M171" i="4"/>
  <c r="O171" i="4" s="1"/>
  <c r="Q170" i="4"/>
  <c r="U170" i="4" s="1"/>
  <c r="P170" i="4"/>
  <c r="T170" i="4" s="1"/>
  <c r="R170" i="4"/>
  <c r="V170" i="4" s="1"/>
  <c r="S170" i="4"/>
  <c r="W170" i="4" s="1"/>
  <c r="Q171" i="4" l="1"/>
  <c r="U171" i="4" s="1"/>
  <c r="P171" i="4"/>
  <c r="T171" i="4" s="1"/>
  <c r="S171" i="4"/>
  <c r="W171" i="4" s="1"/>
  <c r="R171" i="4"/>
  <c r="V171" i="4" s="1"/>
  <c r="M172" i="4"/>
  <c r="O172" i="4" s="1"/>
  <c r="N173" i="4"/>
  <c r="M173" i="4" l="1"/>
  <c r="O173" i="4" s="1"/>
  <c r="N174" i="4"/>
  <c r="Q172" i="4"/>
  <c r="U172" i="4" s="1"/>
  <c r="R172" i="4"/>
  <c r="V172" i="4" s="1"/>
  <c r="S172" i="4"/>
  <c r="W172" i="4" s="1"/>
  <c r="P172" i="4"/>
  <c r="T172" i="4" s="1"/>
  <c r="M174" i="4" l="1"/>
  <c r="O174" i="4" s="1"/>
  <c r="N175" i="4"/>
  <c r="Q173" i="4"/>
  <c r="U173" i="4" s="1"/>
  <c r="P173" i="4"/>
  <c r="T173" i="4" s="1"/>
  <c r="R173" i="4"/>
  <c r="V173" i="4" s="1"/>
  <c r="S173" i="4"/>
  <c r="W173" i="4" s="1"/>
  <c r="M175" i="4" l="1"/>
  <c r="O175" i="4" s="1"/>
  <c r="N176" i="4"/>
  <c r="Q174" i="4"/>
  <c r="U174" i="4" s="1"/>
  <c r="P174" i="4"/>
  <c r="T174" i="4" s="1"/>
  <c r="S174" i="4"/>
  <c r="W174" i="4" s="1"/>
  <c r="R174" i="4"/>
  <c r="V174" i="4" s="1"/>
  <c r="M176" i="4" l="1"/>
  <c r="O176" i="4" s="1"/>
  <c r="N177" i="4"/>
  <c r="Q175" i="4"/>
  <c r="U175" i="4" s="1"/>
  <c r="S175" i="4"/>
  <c r="W175" i="4" s="1"/>
  <c r="R175" i="4"/>
  <c r="V175" i="4" s="1"/>
  <c r="P175" i="4"/>
  <c r="T175" i="4" s="1"/>
  <c r="M177" i="4" l="1"/>
  <c r="O177" i="4" s="1"/>
  <c r="N178" i="4"/>
  <c r="Q176" i="4"/>
  <c r="U176" i="4" s="1"/>
  <c r="R176" i="4"/>
  <c r="V176" i="4" s="1"/>
  <c r="S176" i="4"/>
  <c r="W176" i="4" s="1"/>
  <c r="P176" i="4"/>
  <c r="T176" i="4" s="1"/>
  <c r="N179" i="4" l="1"/>
  <c r="M178" i="4"/>
  <c r="O178" i="4" s="1"/>
  <c r="S177" i="4"/>
  <c r="W177" i="4" s="1"/>
  <c r="R177" i="4"/>
  <c r="V177" i="4" s="1"/>
  <c r="Q177" i="4"/>
  <c r="U177" i="4" s="1"/>
  <c r="P177" i="4"/>
  <c r="T177" i="4" s="1"/>
  <c r="Q178" i="4" l="1"/>
  <c r="U178" i="4" s="1"/>
  <c r="P178" i="4"/>
  <c r="T178" i="4" s="1"/>
  <c r="R178" i="4"/>
  <c r="V178" i="4" s="1"/>
  <c r="S178" i="4"/>
  <c r="W178" i="4" s="1"/>
  <c r="M179" i="4"/>
  <c r="O179" i="4" s="1"/>
  <c r="N180" i="4"/>
  <c r="N181" i="4" l="1"/>
  <c r="M180" i="4"/>
  <c r="O180" i="4" s="1"/>
  <c r="P179" i="4"/>
  <c r="T179" i="4" s="1"/>
  <c r="Q179" i="4"/>
  <c r="U179" i="4" s="1"/>
  <c r="R179" i="4"/>
  <c r="V179" i="4" s="1"/>
  <c r="S179" i="4"/>
  <c r="W179" i="4" s="1"/>
  <c r="S180" i="4" l="1"/>
  <c r="W180" i="4" s="1"/>
  <c r="Q180" i="4"/>
  <c r="U180" i="4" s="1"/>
  <c r="R180" i="4"/>
  <c r="V180" i="4" s="1"/>
  <c r="P180" i="4"/>
  <c r="T180" i="4" s="1"/>
  <c r="M181" i="4"/>
  <c r="O181" i="4" s="1"/>
  <c r="N182" i="4"/>
  <c r="N183" i="4" l="1"/>
  <c r="M182" i="4"/>
  <c r="O182" i="4" s="1"/>
  <c r="R181" i="4"/>
  <c r="V181" i="4" s="1"/>
  <c r="S181" i="4"/>
  <c r="W181" i="4" s="1"/>
  <c r="Q181" i="4"/>
  <c r="U181" i="4" s="1"/>
  <c r="P181" i="4"/>
  <c r="T181" i="4" s="1"/>
  <c r="Q182" i="4" l="1"/>
  <c r="U182" i="4" s="1"/>
  <c r="R182" i="4"/>
  <c r="V182" i="4" s="1"/>
  <c r="S182" i="4"/>
  <c r="W182" i="4" s="1"/>
  <c r="P182" i="4"/>
  <c r="T182" i="4" s="1"/>
  <c r="M183" i="4"/>
  <c r="O183" i="4" s="1"/>
  <c r="N184" i="4"/>
  <c r="N185" i="4" l="1"/>
  <c r="M184" i="4"/>
  <c r="O184" i="4" s="1"/>
  <c r="S183" i="4"/>
  <c r="W183" i="4" s="1"/>
  <c r="P183" i="4"/>
  <c r="T183" i="4" s="1"/>
  <c r="Q183" i="4"/>
  <c r="U183" i="4" s="1"/>
  <c r="R183" i="4"/>
  <c r="V183" i="4" s="1"/>
  <c r="P184" i="4" l="1"/>
  <c r="T184" i="4" s="1"/>
  <c r="R184" i="4"/>
  <c r="V184" i="4" s="1"/>
  <c r="S184" i="4"/>
  <c r="W184" i="4" s="1"/>
  <c r="Q184" i="4"/>
  <c r="U184" i="4" s="1"/>
  <c r="M185" i="4"/>
  <c r="O185" i="4" s="1"/>
  <c r="N186" i="4"/>
  <c r="M186" i="4" l="1"/>
  <c r="O186" i="4" s="1"/>
  <c r="N187" i="4"/>
  <c r="Q185" i="4"/>
  <c r="U185" i="4" s="1"/>
  <c r="P185" i="4"/>
  <c r="T185" i="4" s="1"/>
  <c r="S185" i="4"/>
  <c r="W185" i="4" s="1"/>
  <c r="R185" i="4"/>
  <c r="V185" i="4" s="1"/>
  <c r="N188" i="4" l="1"/>
  <c r="M187" i="4"/>
  <c r="O187" i="4" s="1"/>
  <c r="R186" i="4"/>
  <c r="V186" i="4" s="1"/>
  <c r="S186" i="4"/>
  <c r="W186" i="4" s="1"/>
  <c r="P186" i="4"/>
  <c r="T186" i="4" s="1"/>
  <c r="Q186" i="4"/>
  <c r="U186" i="4" s="1"/>
  <c r="S187" i="4" l="1"/>
  <c r="W187" i="4" s="1"/>
  <c r="Q187" i="4"/>
  <c r="U187" i="4" s="1"/>
  <c r="P187" i="4"/>
  <c r="T187" i="4" s="1"/>
  <c r="R187" i="4"/>
  <c r="V187" i="4" s="1"/>
  <c r="M188" i="4"/>
  <c r="O188" i="4" s="1"/>
  <c r="N189" i="4"/>
  <c r="M189" i="4" l="1"/>
  <c r="O189" i="4" s="1"/>
  <c r="N190" i="4"/>
  <c r="P188" i="4"/>
  <c r="T188" i="4" s="1"/>
  <c r="Q188" i="4"/>
  <c r="U188" i="4" s="1"/>
  <c r="R188" i="4"/>
  <c r="V188" i="4" s="1"/>
  <c r="S188" i="4"/>
  <c r="W188" i="4" s="1"/>
  <c r="M190" i="4" l="1"/>
  <c r="O190" i="4" s="1"/>
  <c r="N191" i="4"/>
  <c r="Q189" i="4"/>
  <c r="U189" i="4" s="1"/>
  <c r="S189" i="4"/>
  <c r="W189" i="4" s="1"/>
  <c r="R189" i="4"/>
  <c r="V189" i="4" s="1"/>
  <c r="P189" i="4"/>
  <c r="T189" i="4" s="1"/>
  <c r="N192" i="4" l="1"/>
  <c r="M191" i="4"/>
  <c r="O191" i="4" s="1"/>
  <c r="P190" i="4"/>
  <c r="T190" i="4" s="1"/>
  <c r="S190" i="4"/>
  <c r="W190" i="4" s="1"/>
  <c r="Q190" i="4"/>
  <c r="U190" i="4" s="1"/>
  <c r="R190" i="4"/>
  <c r="V190" i="4" s="1"/>
  <c r="Q191" i="4" l="1"/>
  <c r="U191" i="4" s="1"/>
  <c r="R191" i="4"/>
  <c r="V191" i="4" s="1"/>
  <c r="P191" i="4"/>
  <c r="T191" i="4" s="1"/>
  <c r="S191" i="4"/>
  <c r="W191" i="4" s="1"/>
  <c r="N193" i="4"/>
  <c r="M193" i="4" s="1"/>
  <c r="O193" i="4" s="1"/>
  <c r="M192" i="4"/>
  <c r="O192" i="4" s="1"/>
  <c r="S192" i="4" l="1"/>
  <c r="W192" i="4" s="1"/>
  <c r="P192" i="4"/>
  <c r="T192" i="4" s="1"/>
  <c r="Q192" i="4"/>
  <c r="U192" i="4" s="1"/>
  <c r="R192" i="4"/>
  <c r="V192" i="4" s="1"/>
  <c r="S193" i="4"/>
  <c r="W193" i="4" s="1"/>
  <c r="P193" i="4"/>
  <c r="T193" i="4" s="1"/>
  <c r="Q193" i="4"/>
  <c r="U193" i="4" s="1"/>
  <c r="R193" i="4"/>
  <c r="V193" i="4" s="1"/>
  <c r="P16" i="7" l="1"/>
  <c r="Q16" i="7" s="1"/>
  <c r="S16" i="7" l="1"/>
  <c r="R16" i="7"/>
  <c r="M194" i="4" l="1"/>
  <c r="J58" i="2"/>
  <c r="J57" i="2" s="1"/>
  <c r="J36" i="2"/>
  <c r="O8" i="2"/>
  <c r="E25" i="7"/>
  <c r="C25" i="7"/>
  <c r="D25" i="7" s="1"/>
  <c r="T16" i="7"/>
  <c r="R58" i="2" l="1"/>
  <c r="X194" i="4"/>
  <c r="F25" i="7"/>
  <c r="G25" i="7" s="1"/>
  <c r="H25" i="7"/>
  <c r="K36" i="2"/>
  <c r="J35" i="2"/>
  <c r="J37" i="2"/>
  <c r="U16" i="7"/>
  <c r="M11" i="2" s="1"/>
  <c r="F32" i="7" l="1"/>
  <c r="G32" i="7" s="1"/>
  <c r="V16" i="7"/>
  <c r="K37" i="2"/>
  <c r="J38" i="2"/>
  <c r="R57" i="2"/>
  <c r="K35" i="2"/>
  <c r="J34" i="2"/>
  <c r="L36" i="2"/>
  <c r="O36" i="2" s="1"/>
  <c r="N36" i="2"/>
  <c r="Q36" i="2" s="1"/>
  <c r="F33" i="7" l="1"/>
  <c r="G33" i="7" s="1"/>
  <c r="K34" i="2"/>
  <c r="J33" i="2"/>
  <c r="K38" i="2"/>
  <c r="J39" i="2"/>
  <c r="L37" i="2"/>
  <c r="O37" i="2" s="1"/>
  <c r="N37" i="2"/>
  <c r="Q37" i="2" s="1"/>
  <c r="N35" i="2"/>
  <c r="Q35" i="2" s="1"/>
  <c r="L35" i="2"/>
  <c r="O35" i="2" s="1"/>
  <c r="K39" i="2" l="1"/>
  <c r="J40" i="2"/>
  <c r="M34" i="2"/>
  <c r="P34" i="2" s="1"/>
  <c r="M36" i="2"/>
  <c r="P36" i="2" s="1"/>
  <c r="M37" i="2"/>
  <c r="P37" i="2" s="1"/>
  <c r="M35" i="2"/>
  <c r="P35" i="2" s="1"/>
  <c r="M39" i="2"/>
  <c r="P39" i="2" s="1"/>
  <c r="M38" i="2"/>
  <c r="P38" i="2" s="1"/>
  <c r="L38" i="2"/>
  <c r="O38" i="2" s="1"/>
  <c r="N38" i="2"/>
  <c r="Q38" i="2" s="1"/>
  <c r="J32" i="2"/>
  <c r="K33" i="2"/>
  <c r="M33" i="2" s="1"/>
  <c r="P33" i="2" s="1"/>
  <c r="L34" i="2"/>
  <c r="O34" i="2" s="1"/>
  <c r="N34" i="2"/>
  <c r="Q34" i="2" s="1"/>
  <c r="K32" i="2" l="1"/>
  <c r="J31" i="2"/>
  <c r="L33" i="2"/>
  <c r="O33" i="2" s="1"/>
  <c r="N33" i="2"/>
  <c r="Q33" i="2" s="1"/>
  <c r="J41" i="2"/>
  <c r="K40" i="2"/>
  <c r="N39" i="2"/>
  <c r="Q39" i="2" s="1"/>
  <c r="L39" i="2"/>
  <c r="O39" i="2" s="1"/>
  <c r="N40" i="2" l="1"/>
  <c r="Q40" i="2" s="1"/>
  <c r="L40" i="2"/>
  <c r="O40" i="2" s="1"/>
  <c r="M40" i="2"/>
  <c r="P40" i="2" s="1"/>
  <c r="J42" i="2"/>
  <c r="K41" i="2"/>
  <c r="J30" i="2"/>
  <c r="K31" i="2"/>
  <c r="L32" i="2"/>
  <c r="O32" i="2" s="1"/>
  <c r="N32" i="2"/>
  <c r="Q32" i="2" s="1"/>
  <c r="M32" i="2"/>
  <c r="P32" i="2" s="1"/>
  <c r="N31" i="2" l="1"/>
  <c r="Q31" i="2" s="1"/>
  <c r="L31" i="2"/>
  <c r="O31" i="2" s="1"/>
  <c r="M31" i="2"/>
  <c r="P31" i="2" s="1"/>
  <c r="K30" i="2"/>
  <c r="J29" i="2"/>
  <c r="N41" i="2"/>
  <c r="Q41" i="2" s="1"/>
  <c r="L41" i="2"/>
  <c r="O41" i="2" s="1"/>
  <c r="M41" i="2"/>
  <c r="P41" i="2" s="1"/>
  <c r="J43" i="2"/>
  <c r="K42" i="2"/>
  <c r="J28" i="2" l="1"/>
  <c r="K29" i="2"/>
  <c r="N30" i="2"/>
  <c r="Q30" i="2" s="1"/>
  <c r="L30" i="2"/>
  <c r="O30" i="2" s="1"/>
  <c r="M30" i="2"/>
  <c r="P30" i="2" s="1"/>
  <c r="L42" i="2"/>
  <c r="O42" i="2" s="1"/>
  <c r="N42" i="2"/>
  <c r="Q42" i="2" s="1"/>
  <c r="M42" i="2"/>
  <c r="P42" i="2" s="1"/>
  <c r="J44" i="2"/>
  <c r="K43" i="2"/>
  <c r="L43" i="2" l="1"/>
  <c r="O43" i="2" s="1"/>
  <c r="N43" i="2"/>
  <c r="Q43" i="2" s="1"/>
  <c r="M43" i="2"/>
  <c r="P43" i="2" s="1"/>
  <c r="L29" i="2"/>
  <c r="O29" i="2" s="1"/>
  <c r="N29" i="2"/>
  <c r="Q29" i="2" s="1"/>
  <c r="M29" i="2"/>
  <c r="P29" i="2" s="1"/>
  <c r="J45" i="2"/>
  <c r="K44" i="2"/>
  <c r="K28" i="2"/>
  <c r="J27" i="2"/>
  <c r="L44" i="2" l="1"/>
  <c r="O44" i="2" s="1"/>
  <c r="N44" i="2"/>
  <c r="Q44" i="2" s="1"/>
  <c r="M44" i="2"/>
  <c r="P44" i="2" s="1"/>
  <c r="K45" i="2"/>
  <c r="J46" i="2"/>
  <c r="J26" i="2"/>
  <c r="K27" i="2"/>
  <c r="L28" i="2"/>
  <c r="O28" i="2" s="1"/>
  <c r="N28" i="2"/>
  <c r="Q28" i="2" s="1"/>
  <c r="M28" i="2"/>
  <c r="P28" i="2" s="1"/>
  <c r="L27" i="2" l="1"/>
  <c r="O27" i="2" s="1"/>
  <c r="N27" i="2"/>
  <c r="Q27" i="2" s="1"/>
  <c r="M27" i="2"/>
  <c r="P27" i="2" s="1"/>
  <c r="K26" i="2"/>
  <c r="J25" i="2"/>
  <c r="K46" i="2"/>
  <c r="J47" i="2"/>
  <c r="L45" i="2"/>
  <c r="O45" i="2" s="1"/>
  <c r="N45" i="2"/>
  <c r="Q45" i="2" s="1"/>
  <c r="M45" i="2"/>
  <c r="P45" i="2" s="1"/>
  <c r="K47" i="2" l="1"/>
  <c r="J48" i="2"/>
  <c r="L46" i="2"/>
  <c r="O46" i="2" s="1"/>
  <c r="N46" i="2"/>
  <c r="Q46" i="2" s="1"/>
  <c r="M46" i="2"/>
  <c r="P46" i="2" s="1"/>
  <c r="J24" i="2"/>
  <c r="K25" i="2"/>
  <c r="L26" i="2"/>
  <c r="O26" i="2" s="1"/>
  <c r="N26" i="2"/>
  <c r="Q26" i="2" s="1"/>
  <c r="M26" i="2"/>
  <c r="P26" i="2" s="1"/>
  <c r="L25" i="2" l="1"/>
  <c r="O25" i="2" s="1"/>
  <c r="N25" i="2"/>
  <c r="Q25" i="2" s="1"/>
  <c r="M25" i="2"/>
  <c r="P25" i="2" s="1"/>
  <c r="K24" i="2"/>
  <c r="J23" i="2"/>
  <c r="J49" i="2"/>
  <c r="K48" i="2"/>
  <c r="N47" i="2"/>
  <c r="Q47" i="2" s="1"/>
  <c r="L47" i="2"/>
  <c r="O47" i="2" s="1"/>
  <c r="M47" i="2"/>
  <c r="P47" i="2" s="1"/>
  <c r="N48" i="2" l="1"/>
  <c r="Q48" i="2" s="1"/>
  <c r="L48" i="2"/>
  <c r="O48" i="2" s="1"/>
  <c r="M48" i="2"/>
  <c r="P48" i="2" s="1"/>
  <c r="J50" i="2"/>
  <c r="K49" i="2"/>
  <c r="K23" i="2"/>
  <c r="J22" i="2"/>
  <c r="N24" i="2"/>
  <c r="Q24" i="2" s="1"/>
  <c r="L24" i="2"/>
  <c r="O24" i="2" s="1"/>
  <c r="M24" i="2"/>
  <c r="P24" i="2" s="1"/>
  <c r="K22" i="2" l="1"/>
  <c r="J21" i="2"/>
  <c r="N23" i="2"/>
  <c r="Q23" i="2" s="1"/>
  <c r="L23" i="2"/>
  <c r="O23" i="2" s="1"/>
  <c r="M23" i="2"/>
  <c r="P23" i="2" s="1"/>
  <c r="L49" i="2"/>
  <c r="O49" i="2" s="1"/>
  <c r="N49" i="2"/>
  <c r="Q49" i="2" s="1"/>
  <c r="M49" i="2"/>
  <c r="P49" i="2" s="1"/>
  <c r="J51" i="2"/>
  <c r="K50" i="2"/>
  <c r="L50" i="2" l="1"/>
  <c r="O50" i="2" s="1"/>
  <c r="N50" i="2"/>
  <c r="Q50" i="2" s="1"/>
  <c r="M50" i="2"/>
  <c r="P50" i="2" s="1"/>
  <c r="J20" i="2"/>
  <c r="K21" i="2"/>
  <c r="J52" i="2"/>
  <c r="K51" i="2"/>
  <c r="N22" i="2"/>
  <c r="Q22" i="2" s="1"/>
  <c r="L22" i="2"/>
  <c r="O22" i="2" s="1"/>
  <c r="M22" i="2"/>
  <c r="P22" i="2" s="1"/>
  <c r="N51" i="2" l="1"/>
  <c r="Q51" i="2" s="1"/>
  <c r="L51" i="2"/>
  <c r="O51" i="2" s="1"/>
  <c r="M51" i="2"/>
  <c r="P51" i="2" s="1"/>
  <c r="K52" i="2"/>
  <c r="J53" i="2"/>
  <c r="N21" i="2"/>
  <c r="Q21" i="2" s="1"/>
  <c r="L21" i="2"/>
  <c r="O21" i="2" s="1"/>
  <c r="M21" i="2"/>
  <c r="P21" i="2" s="1"/>
  <c r="K20" i="2"/>
  <c r="J19" i="2"/>
  <c r="J54" i="2" l="1"/>
  <c r="K53" i="2"/>
  <c r="L52" i="2"/>
  <c r="O52" i="2" s="1"/>
  <c r="N52" i="2"/>
  <c r="Q52" i="2" s="1"/>
  <c r="M52" i="2"/>
  <c r="P52" i="2" s="1"/>
  <c r="J18" i="2"/>
  <c r="K19" i="2"/>
  <c r="L20" i="2"/>
  <c r="O20" i="2" s="1"/>
  <c r="N20" i="2"/>
  <c r="Q20" i="2" s="1"/>
  <c r="M20" i="2"/>
  <c r="P20" i="2" s="1"/>
  <c r="N19" i="2" l="1"/>
  <c r="Q19" i="2" s="1"/>
  <c r="L19" i="2"/>
  <c r="O19" i="2" s="1"/>
  <c r="M19" i="2"/>
  <c r="P19" i="2" s="1"/>
  <c r="K18" i="2"/>
  <c r="J17" i="2"/>
  <c r="L53" i="2"/>
  <c r="O53" i="2" s="1"/>
  <c r="N53" i="2"/>
  <c r="Q53" i="2" s="1"/>
  <c r="M53" i="2"/>
  <c r="P53" i="2" s="1"/>
  <c r="J55" i="2"/>
  <c r="K54" i="2"/>
  <c r="J16" i="2" l="1"/>
  <c r="K16" i="2" s="1"/>
  <c r="K17" i="2"/>
  <c r="N18" i="2"/>
  <c r="Q18" i="2" s="1"/>
  <c r="L18" i="2"/>
  <c r="O18" i="2" s="1"/>
  <c r="M18" i="2"/>
  <c r="P18" i="2" s="1"/>
  <c r="N54" i="2"/>
  <c r="Q54" i="2" s="1"/>
  <c r="L54" i="2"/>
  <c r="O54" i="2" s="1"/>
  <c r="M54" i="2"/>
  <c r="P54" i="2" s="1"/>
  <c r="K55" i="2"/>
  <c r="J56" i="2"/>
  <c r="K56" i="2" s="1"/>
  <c r="N56" i="2" l="1"/>
  <c r="Q56" i="2" s="1"/>
  <c r="L56" i="2"/>
  <c r="O56" i="2" s="1"/>
  <c r="M56" i="2"/>
  <c r="P56" i="2" s="1"/>
  <c r="N17" i="2"/>
  <c r="Q17" i="2" s="1"/>
  <c r="L17" i="2"/>
  <c r="O17" i="2" s="1"/>
  <c r="M17" i="2"/>
  <c r="P17" i="2" s="1"/>
  <c r="N55" i="2"/>
  <c r="Q55" i="2" s="1"/>
  <c r="L55" i="2"/>
  <c r="O55" i="2" s="1"/>
  <c r="M55" i="2"/>
  <c r="P55" i="2" s="1"/>
  <c r="N16" i="2"/>
  <c r="Q16" i="2" s="1"/>
  <c r="L16" i="2"/>
  <c r="O16" i="2" s="1"/>
  <c r="M16" i="2"/>
  <c r="P16" i="2" s="1"/>
</calcChain>
</file>

<file path=xl/sharedStrings.xml><?xml version="1.0" encoding="utf-8"?>
<sst xmlns="http://schemas.openxmlformats.org/spreadsheetml/2006/main" count="143" uniqueCount="130">
  <si>
    <t>Datum:</t>
  </si>
  <si>
    <t>Uhrzeit UT1:</t>
  </si>
  <si>
    <t>Sextantenablesung:</t>
  </si>
  <si>
    <t>UR</t>
  </si>
  <si>
    <t xml:space="preserve">Indexberichtigung Beob. 1: </t>
  </si>
  <si>
    <t xml:space="preserve">Indexberichtigung Beob. 2: </t>
  </si>
  <si>
    <t>h</t>
  </si>
  <si>
    <t xml:space="preserve">Schiffsmittag: </t>
  </si>
  <si>
    <t>U</t>
  </si>
  <si>
    <t>Zeit UT1:</t>
  </si>
  <si>
    <t>Greenwichwinkel Grt:</t>
  </si>
  <si>
    <r>
      <t xml:space="preserve">Deklination </t>
    </r>
    <r>
      <rPr>
        <sz val="11"/>
        <color theme="1"/>
        <rFont val="Symbol"/>
        <charset val="2"/>
      </rPr>
      <t>d</t>
    </r>
    <r>
      <rPr>
        <sz val="11"/>
        <color theme="1"/>
        <rFont val="Helvetica Neue"/>
        <family val="2"/>
      </rPr>
      <t>:</t>
    </r>
  </si>
  <si>
    <t>LHA:</t>
  </si>
  <si>
    <t>beobachtete Höhe h:</t>
  </si>
  <si>
    <t>Azimut Az:</t>
  </si>
  <si>
    <t>UTC</t>
  </si>
  <si>
    <t>distance made good:</t>
  </si>
  <si>
    <t>course made good:</t>
  </si>
  <si>
    <t>Standort und Versegelung</t>
  </si>
  <si>
    <t>Kennwort:     change</t>
  </si>
  <si>
    <t>versegelter Kurs:</t>
  </si>
  <si>
    <t>versegelte Strecke s:</t>
  </si>
  <si>
    <t>nm</t>
  </si>
  <si>
    <r>
      <t xml:space="preserve">versegelte Breite </t>
    </r>
    <r>
      <rPr>
        <sz val="12"/>
        <color theme="1"/>
        <rFont val="Symbol"/>
        <charset val="2"/>
      </rPr>
      <t>Dj</t>
    </r>
    <r>
      <rPr>
        <sz val="12"/>
        <color theme="1"/>
        <rFont val="Helvetica Neue"/>
        <family val="2"/>
      </rPr>
      <t>:</t>
    </r>
  </si>
  <si>
    <t xml:space="preserve">Schrittweite Breite: </t>
  </si>
  <si>
    <t>LHA° :</t>
  </si>
  <si>
    <t>LHA°_ :</t>
  </si>
  <si>
    <t>Standortgrafikbereich</t>
  </si>
  <si>
    <t>j</t>
  </si>
  <si>
    <t>lv</t>
  </si>
  <si>
    <r>
      <t>versegelte Länge</t>
    </r>
    <r>
      <rPr>
        <sz val="12"/>
        <color theme="1"/>
        <rFont val="Symbol"/>
        <charset val="2"/>
      </rPr>
      <t xml:space="preserve"> Dl</t>
    </r>
    <r>
      <rPr>
        <sz val="12"/>
        <color theme="1"/>
        <rFont val="Helvetica Neue"/>
        <family val="2"/>
      </rPr>
      <t>:</t>
    </r>
  </si>
  <si>
    <r>
      <rPr>
        <sz val="12"/>
        <rFont val="Symbol"/>
        <charset val="2"/>
      </rPr>
      <t>j</t>
    </r>
    <r>
      <rPr>
        <sz val="9"/>
        <rFont val="Calibri"/>
        <family val="2"/>
      </rPr>
      <t>rad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</si>
  <si>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1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</si>
  <si>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2</t>
    </r>
  </si>
  <si>
    <r>
      <t>P</t>
    </r>
    <r>
      <rPr>
        <sz val="9"/>
        <rFont val="Symbol"/>
        <charset val="2"/>
      </rPr>
      <t>l</t>
    </r>
    <r>
      <rPr>
        <sz val="9"/>
        <rFont val="Calibri (Textkörper)"/>
      </rPr>
      <t>S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</si>
  <si>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1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</si>
  <si>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2</t>
    </r>
  </si>
  <si>
    <t>DMG</t>
  </si>
  <si>
    <r>
      <t xml:space="preserve">versegelte </t>
    </r>
    <r>
      <rPr>
        <sz val="14"/>
        <color theme="1"/>
        <rFont val="Symbol"/>
        <charset val="2"/>
      </rPr>
      <t xml:space="preserve">l </t>
    </r>
    <r>
      <rPr>
        <sz val="14"/>
        <color theme="1"/>
        <rFont val="Helvetica Neue"/>
        <family val="2"/>
      </rPr>
      <t>und</t>
    </r>
    <r>
      <rPr>
        <sz val="14"/>
        <color theme="1"/>
        <rFont val="Symbol"/>
        <charset val="2"/>
      </rPr>
      <t xml:space="preserve"> j</t>
    </r>
    <r>
      <rPr>
        <sz val="14"/>
        <color theme="1"/>
        <rFont val="Helvetica Neue"/>
        <family val="2"/>
      </rPr>
      <t xml:space="preserve"> für die Standortgrafik</t>
    </r>
  </si>
  <si>
    <t xml:space="preserve">_A1 = </t>
  </si>
  <si>
    <t xml:space="preserve">_A2 = </t>
  </si>
  <si>
    <t xml:space="preserve">_A3 = </t>
  </si>
  <si>
    <t xml:space="preserve">_A4 = </t>
  </si>
  <si>
    <t xml:space="preserve">_B1 = </t>
  </si>
  <si>
    <t xml:space="preserve">_B2 = </t>
  </si>
  <si>
    <t xml:space="preserve">_B3 = </t>
  </si>
  <si>
    <t xml:space="preserve">_B4 = </t>
  </si>
  <si>
    <t>Einstellungen</t>
  </si>
  <si>
    <t>Messung 1</t>
  </si>
  <si>
    <t>Versegelung</t>
  </si>
  <si>
    <t>Messung 2</t>
  </si>
  <si>
    <t>Ergebnis</t>
  </si>
  <si>
    <t>Zusatzinformationen</t>
  </si>
  <si>
    <t xml:space="preserve">Dat ref = </t>
  </si>
  <si>
    <t xml:space="preserve">eigene Standortbreite : </t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</si>
  <si>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W-1</t>
    </r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</si>
  <si>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rad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</si>
  <si>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</si>
  <si>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</si>
  <si>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</si>
  <si>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</si>
  <si>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</si>
  <si>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</si>
  <si>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</si>
  <si>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</si>
  <si>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t>Schrittweiten in der Grafik</t>
  </si>
  <si>
    <t xml:space="preserve">Nordausdehnung grosser Kreis: </t>
  </si>
  <si>
    <t xml:space="preserve">Südausdehnung grosser Kreis: </t>
  </si>
  <si>
    <t xml:space="preserve">Nordausdehnung kleiner Kreis: </t>
  </si>
  <si>
    <t xml:space="preserve">Südausdehnung kleiner Kreis: </t>
  </si>
  <si>
    <t>Nordausdehnung wenn nur ein Kreis:</t>
  </si>
  <si>
    <t>Südausdehnung wenn nur ein Kreis:</t>
  </si>
  <si>
    <t>Durchmesser großer Kreis:</t>
  </si>
  <si>
    <t>Durchmesser kleiner Kreis:</t>
  </si>
  <si>
    <t>gegebene Stufenanzahl für gr. Kreis:</t>
  </si>
  <si>
    <t>proprtionale Stufenzakl für kl. Kreis:</t>
  </si>
  <si>
    <t>halbe Stufendifferenz (oben/ unten):</t>
  </si>
  <si>
    <t>Schrittweite in der Breite:</t>
  </si>
  <si>
    <t>Grafik Global</t>
  </si>
  <si>
    <t>Grafikberechnung</t>
  </si>
  <si>
    <t>Pos.</t>
  </si>
  <si>
    <t xml:space="preserve"> Sonnenrand Beob. 1: </t>
  </si>
  <si>
    <t xml:space="preserve"> Sonnenrand Beob. 2: </t>
  </si>
  <si>
    <t>Sun</t>
  </si>
  <si>
    <t xml:space="preserve"> m</t>
  </si>
  <si>
    <t>N</t>
  </si>
  <si>
    <t>V</t>
  </si>
  <si>
    <t>G</t>
  </si>
  <si>
    <t xml:space="preserve">TT.MM.JJ: </t>
  </si>
  <si>
    <t xml:space="preserve">Augeshöhe: </t>
  </si>
  <si>
    <t xml:space="preserve"> NM</t>
  </si>
  <si>
    <t>Name</t>
  </si>
  <si>
    <t>F</t>
  </si>
  <si>
    <t>W</t>
  </si>
  <si>
    <t>hs</t>
  </si>
  <si>
    <t>q</t>
  </si>
  <si>
    <t>LHA</t>
  </si>
  <si>
    <t>Wert</t>
  </si>
  <si>
    <t xml:space="preserve">Datumsdifferenz: </t>
  </si>
  <si>
    <t>corr</t>
  </si>
  <si>
    <t>add</t>
  </si>
  <si>
    <t>h°</t>
  </si>
  <si>
    <t xml:space="preserve">obs. 1: </t>
  </si>
  <si>
    <t xml:space="preserve">obs. 2: </t>
  </si>
  <si>
    <t>M</t>
  </si>
  <si>
    <t>e</t>
  </si>
  <si>
    <t>C</t>
  </si>
  <si>
    <t>L</t>
  </si>
  <si>
    <t>d</t>
  </si>
  <si>
    <r>
      <t>𝜛</t>
    </r>
    <r>
      <rPr>
        <sz val="8"/>
        <color theme="1"/>
        <rFont val="Calibri (Textkörper)_x0000_"/>
      </rPr>
      <t>rad</t>
    </r>
  </si>
  <si>
    <t>l*</t>
  </si>
  <si>
    <t>l</t>
  </si>
  <si>
    <t>z</t>
  </si>
  <si>
    <r>
      <t>e</t>
    </r>
    <r>
      <rPr>
        <sz val="8"/>
        <color theme="1"/>
        <rFont val="Calibri"/>
        <family val="2"/>
      </rPr>
      <t>rad</t>
    </r>
  </si>
  <si>
    <r>
      <t>g</t>
    </r>
    <r>
      <rPr>
        <sz val="8"/>
        <color theme="1"/>
        <rFont val="Calibri (Textkörper)_x0000_"/>
      </rPr>
      <t>rad</t>
    </r>
  </si>
  <si>
    <r>
      <t>Grt</t>
    </r>
    <r>
      <rPr>
        <sz val="8"/>
        <color theme="1"/>
        <rFont val="Calibri (Textkörper)_x0000_"/>
      </rPr>
      <t>0</t>
    </r>
  </si>
  <si>
    <r>
      <t>L</t>
    </r>
    <r>
      <rPr>
        <sz val="8"/>
        <color theme="1"/>
        <rFont val="Calibri (Textkörper)_x0000_"/>
      </rPr>
      <t>rad</t>
    </r>
  </si>
  <si>
    <t>month</t>
  </si>
  <si>
    <r>
      <t xml:space="preserve">Password:  </t>
    </r>
    <r>
      <rPr>
        <b/>
        <sz val="16"/>
        <rFont val="Helvetica Neue"/>
        <family val="2"/>
      </rPr>
      <t>change</t>
    </r>
  </si>
  <si>
    <t xml:space="preserve">Position: </t>
  </si>
  <si>
    <t>Sextant</t>
  </si>
  <si>
    <t>Index</t>
  </si>
  <si>
    <t>gewäht</t>
  </si>
  <si>
    <t>Navigieren mit Excel</t>
  </si>
  <si>
    <t>Navigation mit der Sonne nach Carl Friedrich Gauß</t>
  </si>
  <si>
    <t>T</t>
  </si>
  <si>
    <t>Grt</t>
  </si>
  <si>
    <t>versegelt</t>
  </si>
  <si>
    <t>Position 1</t>
  </si>
  <si>
    <t xml:space="preserve">anzuzeigender Breitenbereich: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</si>
</sst>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64" formatCode="0.0000"/>
    <numFmt numFmtId="165" formatCode="0.000"/>
    <numFmt numFmtId="166" formatCode="0.0"/>
    <numFmt numFmtId="167" formatCode="[$-407]d/\ mmm/;@"/>
    <numFmt numFmtId="168" formatCode="[$-F400]h:mm:ss\ AM/PM"/>
    <numFmt numFmtId="169" formatCode="[$-407]d/\ mmm\ yy;@"/>
    <numFmt numFmtId="170" formatCode="0.000_ ;[Red]\-0.000\ "/>
    <numFmt numFmtId="171" formatCode="0.0000_ ;[Red]\-0.0000\ "/>
    <numFmt numFmtId="172" formatCode="0.00\°"/>
    <numFmt numFmtId="173" formatCode="0\°"/>
    <numFmt numFmtId="174" formatCode="0.000\°"/>
    <numFmt numFmtId="175" formatCode="000\°"/>
    <numFmt numFmtId="176" formatCode="0.00\'"/>
    <numFmt numFmtId="177" formatCode="0.0\'"/>
    <numFmt numFmtId="178" formatCode="0.00\°;[Red]0.00\°"/>
    <numFmt numFmtId="179" formatCode="0.00000"/>
    <numFmt numFmtId="180" formatCode="0.0\°"/>
    <numFmt numFmtId="181" formatCode="#,##0.00\ _€"/>
    <numFmt numFmtId="182" formatCode="0.00_ ;[Red]\-0.00\ "/>
    <numFmt numFmtId="183" formatCode="0.000000"/>
    <numFmt numFmtId="184" formatCode="0.0000E+00"/>
    <numFmt numFmtId="185" formatCode="d/m/yyyy;@"/>
    <numFmt numFmtId="186" formatCode="h:mm:ss;@"/>
  </numFmts>
  <fonts count="6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Lucida Calligraphy Italic"/>
    </font>
    <font>
      <b/>
      <sz val="18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theme="1"/>
      <name val="Helvetica Neue"/>
      <family val="2"/>
    </font>
    <font>
      <sz val="10"/>
      <color rgb="FFC00000"/>
      <name val="Helvetica Neue"/>
      <family val="2"/>
    </font>
    <font>
      <sz val="9"/>
      <color rgb="FFC00000"/>
      <name val="Helvetica Neue"/>
      <family val="2"/>
    </font>
    <font>
      <sz val="12"/>
      <color theme="1"/>
      <name val="Symbol"/>
      <charset val="2"/>
    </font>
    <font>
      <sz val="11"/>
      <color theme="1"/>
      <name val="Symbol"/>
      <charset val="2"/>
    </font>
    <font>
      <b/>
      <sz val="10"/>
      <color rgb="FFFF0000"/>
      <name val="Helvetica Neue"/>
      <family val="2"/>
    </font>
    <font>
      <sz val="11"/>
      <name val="Helvetica Neue"/>
      <family val="2"/>
    </font>
    <font>
      <sz val="11"/>
      <color theme="1"/>
      <name val="Calibri"/>
      <family val="2"/>
      <scheme val="minor"/>
    </font>
    <font>
      <sz val="14"/>
      <color theme="1"/>
      <name val="Helvetica Neue"/>
      <family val="2"/>
    </font>
    <font>
      <b/>
      <sz val="11"/>
      <color theme="1"/>
      <name val="Helvetica Neue"/>
      <family val="2"/>
    </font>
    <font>
      <sz val="10"/>
      <color theme="1"/>
      <name val="Calibri"/>
      <family val="2"/>
      <scheme val="minor"/>
    </font>
    <font>
      <sz val="11"/>
      <color rgb="FFC00000"/>
      <name val="Helvetica Neue"/>
      <family val="2"/>
    </font>
    <font>
      <sz val="10"/>
      <color theme="1"/>
      <name val="Lucida Calligraphy Italic"/>
    </font>
    <font>
      <sz val="12"/>
      <color rgb="FFC00000"/>
      <name val="Helvetica Neue"/>
      <family val="2"/>
    </font>
    <font>
      <b/>
      <sz val="12"/>
      <color theme="1"/>
      <name val="Helvetica Neue"/>
      <family val="2"/>
    </font>
    <font>
      <sz val="12"/>
      <name val="Helvetica Neue"/>
      <family val="2"/>
    </font>
    <font>
      <sz val="12"/>
      <color theme="1"/>
      <name val="Calibri"/>
      <family val="2"/>
      <charset val="2"/>
      <scheme val="minor"/>
    </font>
    <font>
      <sz val="12"/>
      <color theme="1"/>
      <name val="Calibri (Textkörper)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name val="Helvetica Neue"/>
      <family val="2"/>
    </font>
    <font>
      <sz val="18"/>
      <color theme="1" tint="0.34998626667073579"/>
      <name val="Lucida Calligraphy Italic"/>
    </font>
    <font>
      <sz val="12"/>
      <color theme="0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theme="1"/>
      <name val="Calibri"/>
      <family val="2"/>
      <charset val="2"/>
    </font>
    <font>
      <sz val="8"/>
      <color theme="1"/>
      <name val="Calibri (Textkörper)_x0000_"/>
    </font>
    <font>
      <sz val="12"/>
      <color rgb="FFFF0000"/>
      <name val="Calibri"/>
      <family val="2"/>
      <scheme val="minor"/>
    </font>
    <font>
      <sz val="14"/>
      <color theme="1"/>
      <name val="Symbol"/>
      <charset val="2"/>
    </font>
    <font>
      <sz val="12"/>
      <name val="Symbol"/>
      <charset val="2"/>
    </font>
    <font>
      <sz val="12"/>
      <name val="Calibri"/>
      <family val="2"/>
      <charset val="2"/>
    </font>
    <font>
      <sz val="12"/>
      <name val="Helvetica Neue"/>
      <family val="2"/>
      <charset val="2"/>
    </font>
    <font>
      <sz val="9"/>
      <name val="Helvetica Neue"/>
      <family val="2"/>
      <charset val="2"/>
    </font>
    <font>
      <sz val="12"/>
      <color rgb="FF00B05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1"/>
      <color rgb="FF00B050"/>
      <name val="Helvetica Neue"/>
      <family val="2"/>
    </font>
    <font>
      <sz val="11"/>
      <color rgb="FFFF0000"/>
      <name val="Helvetica Neue"/>
      <family val="2"/>
    </font>
    <font>
      <sz val="11"/>
      <color theme="9" tint="-0.249977111117893"/>
      <name val="Helvetica Neue"/>
      <family val="2"/>
    </font>
    <font>
      <sz val="11"/>
      <color rgb="FF0070C0"/>
      <name val="Helvetica Neue"/>
      <family val="2"/>
    </font>
    <font>
      <sz val="9"/>
      <name val="Calibri"/>
      <family val="2"/>
    </font>
    <font>
      <sz val="9"/>
      <name val="Symbol"/>
      <charset val="2"/>
    </font>
    <font>
      <sz val="9"/>
      <name val="Helvetica Neue"/>
      <family val="2"/>
    </font>
    <font>
      <sz val="9"/>
      <name val="Calibri (Textkörper)"/>
    </font>
    <font>
      <sz val="18"/>
      <color rgb="FFC00000"/>
      <name val="Lucida Calligraphy Italic"/>
    </font>
    <font>
      <sz val="12"/>
      <color theme="1"/>
      <name val="Helvetica Neue"/>
      <family val="2"/>
      <charset val="2"/>
    </font>
    <font>
      <vertAlign val="subscript"/>
      <sz val="12"/>
      <color theme="1"/>
      <name val="Helvetica Neue"/>
      <family val="2"/>
    </font>
    <font>
      <b/>
      <sz val="12"/>
      <color theme="1"/>
      <name val="Lucida Calligraphy Italic"/>
    </font>
    <font>
      <b/>
      <sz val="16"/>
      <name val="Helvetica Neue"/>
      <family val="2"/>
    </font>
    <font>
      <sz val="14"/>
      <color theme="1"/>
      <name val="Calibri"/>
      <family val="2"/>
      <scheme val="minor"/>
    </font>
    <font>
      <b/>
      <sz val="12"/>
      <name val="Helvetica Neue"/>
      <family val="2"/>
    </font>
    <font>
      <b/>
      <sz val="12"/>
      <color rgb="FF000000"/>
      <name val="Helvetica Neue"/>
      <family val="2"/>
    </font>
    <font>
      <b/>
      <sz val="11"/>
      <color rgb="FFC00000"/>
      <name val="Helvetica Neue"/>
      <family val="2"/>
    </font>
    <font>
      <b/>
      <sz val="12"/>
      <color theme="1"/>
      <name val="Symbol"/>
      <charset val="2"/>
    </font>
    <font>
      <sz val="8"/>
      <color theme="1"/>
      <name val="Calibri"/>
      <family val="2"/>
    </font>
    <font>
      <sz val="12"/>
      <color rgb="FFFF0000"/>
      <name val="Helvetica Neue"/>
      <family val="2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1"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/>
      <top style="thin">
        <color rgb="FFC00000"/>
      </top>
      <bottom style="hair">
        <color rgb="FFC00000"/>
      </bottom>
      <diagonal/>
    </border>
    <border>
      <left/>
      <right/>
      <top style="thin">
        <color rgb="FFC00000"/>
      </top>
      <bottom style="hair">
        <color rgb="FFC0000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/>
      <bottom style="hair">
        <color rgb="FF00B050"/>
      </bottom>
      <diagonal/>
    </border>
    <border>
      <left style="thin">
        <color rgb="FF00B050"/>
      </left>
      <right style="thin">
        <color rgb="FF00B050"/>
      </right>
      <top/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/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thin">
        <color rgb="FF00B050"/>
      </bottom>
      <diagonal/>
    </border>
    <border>
      <left style="medium">
        <color rgb="FFC00000"/>
      </left>
      <right style="thin">
        <color rgb="FFC00000"/>
      </right>
      <top/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hair">
        <color rgb="FFC00000"/>
      </bottom>
      <diagonal/>
    </border>
    <border>
      <left style="medium">
        <color rgb="FF0070C0"/>
      </left>
      <right style="thin">
        <color rgb="FF0070C0"/>
      </right>
      <top/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/>
      <right style="thin">
        <color rgb="FFC00000"/>
      </right>
      <top style="thin">
        <color rgb="FFC00000"/>
      </top>
      <bottom style="hair">
        <color rgb="FFC00000"/>
      </bottom>
      <diagonal/>
    </border>
    <border>
      <left/>
      <right style="thin">
        <color rgb="FFC00000"/>
      </right>
      <top/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 style="thin">
        <color rgb="FFC00000"/>
      </right>
      <top/>
      <bottom style="thin">
        <color rgb="FFC00000"/>
      </bottom>
      <diagonal/>
    </border>
  </borders>
  <cellStyleXfs count="1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62">
    <xf numFmtId="0" fontId="0" fillId="0" borderId="0" xfId="0"/>
    <xf numFmtId="0" fontId="7" fillId="0" borderId="0" xfId="0" applyFo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164" fontId="0" fillId="0" borderId="0" xfId="0" applyNumberFormat="1" applyProtection="1">
      <protection hidden="1"/>
    </xf>
    <xf numFmtId="0" fontId="0" fillId="0" borderId="0" xfId="0" applyAlignment="1" applyProtection="1">
      <alignment vertical="center"/>
      <protection hidden="1"/>
    </xf>
    <xf numFmtId="16" fontId="7" fillId="0" borderId="0" xfId="0" applyNumberFormat="1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5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7" fillId="0" borderId="0" xfId="0" applyFont="1" applyAlignment="1" applyProtection="1">
      <alignment vertical="center"/>
      <protection hidden="1"/>
    </xf>
    <xf numFmtId="0" fontId="18" fillId="0" borderId="2" xfId="0" applyFont="1" applyBorder="1" applyAlignment="1" applyProtection="1">
      <alignment horizontal="right" vertical="center"/>
      <protection hidden="1"/>
    </xf>
    <xf numFmtId="173" fontId="6" fillId="2" borderId="1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right" vertical="center"/>
      <protection hidden="1"/>
    </xf>
    <xf numFmtId="0" fontId="6" fillId="0" borderId="6" xfId="0" applyFont="1" applyBorder="1" applyAlignment="1" applyProtection="1">
      <alignment horizontal="right"/>
      <protection hidden="1"/>
    </xf>
    <xf numFmtId="0" fontId="6" fillId="0" borderId="7" xfId="0" applyFont="1" applyBorder="1" applyAlignment="1" applyProtection="1">
      <alignment horizontal="right"/>
      <protection hidden="1"/>
    </xf>
    <xf numFmtId="177" fontId="6" fillId="2" borderId="3" xfId="0" applyNumberFormat="1" applyFont="1" applyFill="1" applyBorder="1" applyAlignment="1" applyProtection="1">
      <alignment horizontal="center" vertical="center"/>
      <protection locked="0"/>
    </xf>
    <xf numFmtId="165" fontId="20" fillId="0" borderId="4" xfId="0" applyNumberFormat="1" applyFont="1" applyBorder="1" applyAlignment="1" applyProtection="1">
      <alignment horizontal="center" vertical="center"/>
      <protection hidden="1"/>
    </xf>
    <xf numFmtId="165" fontId="5" fillId="0" borderId="0" xfId="0" applyNumberFormat="1" applyFont="1" applyAlignment="1" applyProtection="1">
      <alignment vertical="center"/>
      <protection hidden="1"/>
    </xf>
    <xf numFmtId="0" fontId="5" fillId="0" borderId="0" xfId="0" applyFont="1" applyProtection="1">
      <protection hidden="1"/>
    </xf>
    <xf numFmtId="168" fontId="6" fillId="0" borderId="28" xfId="0" applyNumberFormat="1" applyFont="1" applyBorder="1" applyAlignment="1" applyProtection="1">
      <alignment horizontal="right"/>
      <protection hidden="1"/>
    </xf>
    <xf numFmtId="173" fontId="6" fillId="0" borderId="30" xfId="0" applyNumberFormat="1" applyFont="1" applyBorder="1" applyAlignment="1" applyProtection="1">
      <alignment horizontal="right"/>
      <protection hidden="1"/>
    </xf>
    <xf numFmtId="177" fontId="6" fillId="2" borderId="18" xfId="0" applyNumberFormat="1" applyFont="1" applyFill="1" applyBorder="1" applyAlignment="1" applyProtection="1">
      <alignment horizontal="center"/>
      <protection locked="0"/>
    </xf>
    <xf numFmtId="177" fontId="6" fillId="2" borderId="8" xfId="0" applyNumberFormat="1" applyFont="1" applyFill="1" applyBorder="1" applyAlignment="1" applyProtection="1">
      <alignment horizontal="center"/>
      <protection locked="0"/>
    </xf>
    <xf numFmtId="0" fontId="6" fillId="0" borderId="39" xfId="0" applyFont="1" applyBorder="1" applyAlignment="1" applyProtection="1">
      <alignment horizontal="right" vertical="center"/>
      <protection hidden="1"/>
    </xf>
    <xf numFmtId="166" fontId="6" fillId="2" borderId="23" xfId="0" applyNumberFormat="1" applyFont="1" applyFill="1" applyBorder="1" applyAlignment="1" applyProtection="1">
      <alignment horizontal="center"/>
      <protection locked="0"/>
    </xf>
    <xf numFmtId="166" fontId="6" fillId="2" borderId="22" xfId="0" applyNumberFormat="1" applyFont="1" applyFill="1" applyBorder="1" applyAlignment="1" applyProtection="1">
      <alignment horizontal="center"/>
      <protection locked="0"/>
    </xf>
    <xf numFmtId="166" fontId="5" fillId="2" borderId="9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right" vertical="center"/>
      <protection hidden="1"/>
    </xf>
    <xf numFmtId="0" fontId="14" fillId="0" borderId="2" xfId="0" applyFont="1" applyBorder="1" applyProtection="1">
      <protection hidden="1"/>
    </xf>
    <xf numFmtId="0" fontId="18" fillId="0" borderId="3" xfId="0" applyFont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horizontal="right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167" fontId="15" fillId="0" borderId="0" xfId="0" applyNumberFormat="1" applyFont="1" applyAlignment="1" applyProtection="1">
      <alignment horizontal="left" vertical="center"/>
      <protection hidden="1"/>
    </xf>
    <xf numFmtId="173" fontId="5" fillId="2" borderId="28" xfId="0" applyNumberFormat="1" applyFont="1" applyFill="1" applyBorder="1" applyAlignment="1" applyProtection="1">
      <alignment horizontal="center" vertical="center"/>
      <protection locked="0"/>
    </xf>
    <xf numFmtId="0" fontId="5" fillId="0" borderId="40" xfId="0" applyFont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right" vertical="center"/>
      <protection hidden="1"/>
    </xf>
    <xf numFmtId="0" fontId="6" fillId="0" borderId="29" xfId="0" applyFont="1" applyBorder="1" applyAlignment="1" applyProtection="1">
      <alignment horizontal="right" vertical="center"/>
      <protection hidden="1"/>
    </xf>
    <xf numFmtId="0" fontId="6" fillId="0" borderId="31" xfId="0" applyFont="1" applyBorder="1" applyAlignment="1" applyProtection="1">
      <alignment horizontal="right" vertical="center"/>
      <protection hidden="1"/>
    </xf>
    <xf numFmtId="0" fontId="0" fillId="0" borderId="31" xfId="0" applyBorder="1" applyAlignment="1" applyProtection="1">
      <alignment horizontal="right" vertical="center"/>
      <protection hidden="1"/>
    </xf>
    <xf numFmtId="0" fontId="6" fillId="0" borderId="35" xfId="0" applyFont="1" applyBorder="1" applyAlignment="1" applyProtection="1">
      <alignment horizontal="right" vertic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168" fontId="8" fillId="0" borderId="0" xfId="0" applyNumberFormat="1" applyFont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right" vertical="center"/>
      <protection hidden="1"/>
    </xf>
    <xf numFmtId="0" fontId="5" fillId="0" borderId="46" xfId="0" applyFont="1" applyBorder="1" applyAlignment="1" applyProtection="1">
      <alignment horizontal="center"/>
      <protection hidden="1"/>
    </xf>
    <xf numFmtId="0" fontId="5" fillId="0" borderId="48" xfId="0" applyFont="1" applyBorder="1" applyAlignment="1" applyProtection="1">
      <alignment horizontal="center"/>
      <protection hidden="1"/>
    </xf>
    <xf numFmtId="0" fontId="28" fillId="0" borderId="0" xfId="0" applyFont="1" applyProtection="1">
      <protection hidden="1"/>
    </xf>
    <xf numFmtId="0" fontId="29" fillId="0" borderId="0" xfId="0" applyFont="1" applyProtection="1">
      <protection hidden="1"/>
    </xf>
    <xf numFmtId="0" fontId="14" fillId="0" borderId="0" xfId="0" applyFont="1" applyAlignment="1">
      <alignment vertical="center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 applyProtection="1">
      <alignment horizontal="left" vertical="center"/>
      <protection hidden="1"/>
    </xf>
    <xf numFmtId="0" fontId="27" fillId="0" borderId="0" xfId="0" applyFont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top"/>
      <protection hidden="1"/>
    </xf>
    <xf numFmtId="173" fontId="5" fillId="0" borderId="53" xfId="0" applyNumberFormat="1" applyFont="1" applyBorder="1" applyAlignment="1" applyProtection="1">
      <alignment horizontal="center" vertical="center"/>
      <protection hidden="1"/>
    </xf>
    <xf numFmtId="0" fontId="5" fillId="0" borderId="53" xfId="0" applyFont="1" applyBorder="1" applyAlignment="1" applyProtection="1">
      <alignment vertical="center"/>
      <protection hidden="1"/>
    </xf>
    <xf numFmtId="0" fontId="5" fillId="0" borderId="54" xfId="0" applyFont="1" applyBorder="1" applyAlignment="1" applyProtection="1">
      <alignment vertical="center"/>
      <protection hidden="1"/>
    </xf>
    <xf numFmtId="166" fontId="5" fillId="0" borderId="0" xfId="0" applyNumberFormat="1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" fillId="0" borderId="56" xfId="0" applyFont="1" applyBorder="1" applyAlignment="1" applyProtection="1">
      <alignment horizontal="center" vertical="center"/>
      <protection hidden="1"/>
    </xf>
    <xf numFmtId="166" fontId="5" fillId="0" borderId="0" xfId="0" applyNumberFormat="1" applyFont="1" applyAlignment="1" applyProtection="1">
      <alignment horizontal="left" vertical="center"/>
      <protection hidden="1"/>
    </xf>
    <xf numFmtId="174" fontId="5" fillId="0" borderId="56" xfId="0" applyNumberFormat="1" applyFont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hidden="1"/>
    </xf>
    <xf numFmtId="0" fontId="5" fillId="0" borderId="55" xfId="0" applyFont="1" applyBorder="1" applyProtection="1">
      <protection hidden="1"/>
    </xf>
    <xf numFmtId="0" fontId="5" fillId="0" borderId="0" xfId="0" applyFont="1" applyAlignment="1" applyProtection="1">
      <alignment horizontal="right"/>
      <protection hidden="1"/>
    </xf>
    <xf numFmtId="172" fontId="5" fillId="0" borderId="0" xfId="0" applyNumberFormat="1" applyFont="1" applyAlignment="1" applyProtection="1">
      <alignment horizontal="center" vertical="center"/>
      <protection hidden="1"/>
    </xf>
    <xf numFmtId="0" fontId="5" fillId="0" borderId="56" xfId="0" applyFont="1" applyBorder="1" applyProtection="1">
      <protection hidden="1"/>
    </xf>
    <xf numFmtId="0" fontId="0" fillId="0" borderId="55" xfId="0" applyBorder="1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56" xfId="0" applyBorder="1" applyProtection="1">
      <protection hidden="1"/>
    </xf>
    <xf numFmtId="0" fontId="0" fillId="0" borderId="57" xfId="0" applyBorder="1" applyProtection="1">
      <protection hidden="1"/>
    </xf>
    <xf numFmtId="0" fontId="0" fillId="0" borderId="58" xfId="0" applyBorder="1" applyProtection="1">
      <protection hidden="1"/>
    </xf>
    <xf numFmtId="0" fontId="0" fillId="0" borderId="58" xfId="0" applyBorder="1" applyAlignment="1" applyProtection="1">
      <alignment horizontal="right"/>
      <protection hidden="1"/>
    </xf>
    <xf numFmtId="0" fontId="0" fillId="0" borderId="58" xfId="0" applyBorder="1" applyAlignment="1" applyProtection="1">
      <alignment horizontal="center"/>
      <protection hidden="1"/>
    </xf>
    <xf numFmtId="0" fontId="0" fillId="0" borderId="59" xfId="0" applyBorder="1" applyProtection="1">
      <protection hidden="1"/>
    </xf>
    <xf numFmtId="0" fontId="35" fillId="0" borderId="60" xfId="0" applyFont="1" applyBorder="1" applyAlignment="1" applyProtection="1">
      <alignment horizontal="center"/>
      <protection hidden="1"/>
    </xf>
    <xf numFmtId="0" fontId="36" fillId="0" borderId="61" xfId="0" applyFont="1" applyBorder="1" applyAlignment="1" applyProtection="1">
      <alignment horizontal="center"/>
      <protection hidden="1"/>
    </xf>
    <xf numFmtId="0" fontId="37" fillId="0" borderId="61" xfId="0" applyFont="1" applyBorder="1" applyAlignment="1" applyProtection="1">
      <alignment horizontal="center"/>
      <protection hidden="1"/>
    </xf>
    <xf numFmtId="0" fontId="35" fillId="0" borderId="61" xfId="0" applyFont="1" applyBorder="1" applyAlignment="1" applyProtection="1">
      <alignment horizontal="center"/>
      <protection hidden="1"/>
    </xf>
    <xf numFmtId="181" fontId="5" fillId="0" borderId="63" xfId="0" applyNumberFormat="1" applyFont="1" applyBorder="1" applyAlignment="1" applyProtection="1">
      <alignment horizontal="center"/>
      <protection hidden="1"/>
    </xf>
    <xf numFmtId="2" fontId="0" fillId="0" borderId="64" xfId="0" applyNumberFormat="1" applyBorder="1" applyAlignment="1" applyProtection="1">
      <alignment horizontal="center"/>
      <protection hidden="1"/>
    </xf>
    <xf numFmtId="2" fontId="39" fillId="0" borderId="64" xfId="0" applyNumberFormat="1" applyFont="1" applyBorder="1" applyAlignment="1" applyProtection="1">
      <alignment horizontal="center"/>
      <protection hidden="1"/>
    </xf>
    <xf numFmtId="2" fontId="33" fillId="0" borderId="64" xfId="0" applyNumberFormat="1" applyFont="1" applyBorder="1" applyAlignment="1" applyProtection="1">
      <alignment horizontal="center"/>
      <protection hidden="1"/>
    </xf>
    <xf numFmtId="2" fontId="40" fillId="3" borderId="64" xfId="0" applyNumberFormat="1" applyFont="1" applyFill="1" applyBorder="1" applyAlignment="1" applyProtection="1">
      <alignment horizontal="center"/>
      <protection hidden="1"/>
    </xf>
    <xf numFmtId="0" fontId="0" fillId="0" borderId="65" xfId="0" applyBorder="1" applyProtection="1">
      <protection hidden="1"/>
    </xf>
    <xf numFmtId="181" fontId="6" fillId="0" borderId="66" xfId="0" applyNumberFormat="1" applyFont="1" applyBorder="1" applyAlignment="1" applyProtection="1">
      <alignment horizontal="center"/>
      <protection hidden="1"/>
    </xf>
    <xf numFmtId="2" fontId="6" fillId="0" borderId="67" xfId="0" applyNumberFormat="1" applyFont="1" applyBorder="1" applyAlignment="1" applyProtection="1">
      <alignment horizontal="center"/>
      <protection hidden="1"/>
    </xf>
    <xf numFmtId="2" fontId="41" fillId="0" borderId="67" xfId="0" applyNumberFormat="1" applyFont="1" applyBorder="1" applyAlignment="1" applyProtection="1">
      <alignment horizontal="center"/>
      <protection hidden="1"/>
    </xf>
    <xf numFmtId="2" fontId="42" fillId="0" borderId="67" xfId="0" applyNumberFormat="1" applyFont="1" applyBorder="1" applyAlignment="1" applyProtection="1">
      <alignment horizontal="center"/>
      <protection hidden="1"/>
    </xf>
    <xf numFmtId="2" fontId="43" fillId="3" borderId="67" xfId="0" applyNumberFormat="1" applyFont="1" applyFill="1" applyBorder="1" applyAlignment="1" applyProtection="1">
      <alignment horizontal="center"/>
      <protection hidden="1"/>
    </xf>
    <xf numFmtId="0" fontId="0" fillId="0" borderId="68" xfId="0" applyBorder="1" applyProtection="1">
      <protection hidden="1"/>
    </xf>
    <xf numFmtId="181" fontId="16" fillId="2" borderId="66" xfId="0" applyNumberFormat="1" applyFont="1" applyFill="1" applyBorder="1" applyAlignment="1" applyProtection="1">
      <alignment horizontal="center"/>
      <protection hidden="1"/>
    </xf>
    <xf numFmtId="2" fontId="6" fillId="2" borderId="67" xfId="0" applyNumberFormat="1" applyFont="1" applyFill="1" applyBorder="1" applyAlignment="1" applyProtection="1">
      <alignment horizontal="center"/>
      <protection hidden="1"/>
    </xf>
    <xf numFmtId="2" fontId="41" fillId="2" borderId="67" xfId="0" applyNumberFormat="1" applyFont="1" applyFill="1" applyBorder="1" applyAlignment="1" applyProtection="1">
      <alignment horizontal="center"/>
      <protection hidden="1"/>
    </xf>
    <xf numFmtId="2" fontId="42" fillId="2" borderId="67" xfId="0" applyNumberFormat="1" applyFont="1" applyFill="1" applyBorder="1" applyAlignment="1" applyProtection="1">
      <alignment horizontal="center"/>
      <protection hidden="1"/>
    </xf>
    <xf numFmtId="2" fontId="43" fillId="2" borderId="67" xfId="0" applyNumberFormat="1" applyFont="1" applyFill="1" applyBorder="1" applyAlignment="1" applyProtection="1">
      <alignment horizontal="center"/>
      <protection hidden="1"/>
    </xf>
    <xf numFmtId="0" fontId="0" fillId="0" borderId="69" xfId="0" applyBorder="1" applyProtection="1">
      <protection hidden="1"/>
    </xf>
    <xf numFmtId="181" fontId="6" fillId="0" borderId="63" xfId="0" applyNumberFormat="1" applyFont="1" applyBorder="1" applyAlignment="1" applyProtection="1">
      <alignment horizontal="center"/>
      <protection hidden="1"/>
    </xf>
    <xf numFmtId="182" fontId="6" fillId="0" borderId="64" xfId="0" applyNumberFormat="1" applyFont="1" applyBorder="1" applyAlignment="1" applyProtection="1">
      <alignment horizontal="center"/>
      <protection hidden="1"/>
    </xf>
    <xf numFmtId="0" fontId="6" fillId="0" borderId="64" xfId="0" applyFont="1" applyBorder="1" applyAlignment="1" applyProtection="1">
      <alignment horizontal="center"/>
      <protection hidden="1"/>
    </xf>
    <xf numFmtId="2" fontId="6" fillId="0" borderId="64" xfId="0" applyNumberFormat="1" applyFont="1" applyBorder="1" applyAlignment="1" applyProtection="1">
      <alignment horizontal="center"/>
      <protection hidden="1"/>
    </xf>
    <xf numFmtId="0" fontId="41" fillId="0" borderId="64" xfId="0" applyFont="1" applyBorder="1" applyAlignment="1" applyProtection="1">
      <alignment horizontal="center"/>
      <protection hidden="1"/>
    </xf>
    <xf numFmtId="0" fontId="42" fillId="0" borderId="64" xfId="0" applyFont="1" applyBorder="1" applyAlignment="1" applyProtection="1">
      <alignment horizontal="center"/>
      <protection hidden="1"/>
    </xf>
    <xf numFmtId="0" fontId="0" fillId="3" borderId="64" xfId="0" applyFill="1" applyBorder="1" applyProtection="1">
      <protection hidden="1"/>
    </xf>
    <xf numFmtId="2" fontId="44" fillId="0" borderId="65" xfId="0" applyNumberFormat="1" applyFont="1" applyBorder="1" applyAlignment="1" applyProtection="1">
      <alignment horizontal="center"/>
      <protection hidden="1"/>
    </xf>
    <xf numFmtId="181" fontId="6" fillId="0" borderId="70" xfId="0" applyNumberFormat="1" applyFont="1" applyBorder="1" applyAlignment="1" applyProtection="1">
      <alignment horizontal="center"/>
      <protection hidden="1"/>
    </xf>
    <xf numFmtId="0" fontId="6" fillId="0" borderId="71" xfId="0" applyFont="1" applyBorder="1" applyAlignment="1" applyProtection="1">
      <alignment horizontal="center"/>
      <protection hidden="1"/>
    </xf>
    <xf numFmtId="2" fontId="6" fillId="0" borderId="71" xfId="0" applyNumberFormat="1" applyFont="1" applyBorder="1" applyAlignment="1" applyProtection="1">
      <alignment horizontal="center"/>
      <protection hidden="1"/>
    </xf>
    <xf numFmtId="0" fontId="41" fillId="0" borderId="71" xfId="0" applyFont="1" applyBorder="1" applyAlignment="1" applyProtection="1">
      <alignment horizontal="center"/>
      <protection hidden="1"/>
    </xf>
    <xf numFmtId="0" fontId="42" fillId="0" borderId="71" xfId="0" applyFont="1" applyBorder="1" applyAlignment="1" applyProtection="1">
      <alignment horizontal="center"/>
      <protection hidden="1"/>
    </xf>
    <xf numFmtId="0" fontId="0" fillId="3" borderId="71" xfId="0" applyFill="1" applyBorder="1" applyProtection="1">
      <protection hidden="1"/>
    </xf>
    <xf numFmtId="2" fontId="44" fillId="0" borderId="72" xfId="0" applyNumberFormat="1" applyFont="1" applyBorder="1" applyAlignment="1" applyProtection="1">
      <alignment horizontal="center"/>
      <protection hidden="1"/>
    </xf>
    <xf numFmtId="0" fontId="22" fillId="0" borderId="61" xfId="0" applyFont="1" applyBorder="1" applyAlignment="1" applyProtection="1">
      <alignment horizontal="center" vertical="center"/>
      <protection hidden="1"/>
    </xf>
    <xf numFmtId="0" fontId="38" fillId="0" borderId="62" xfId="0" applyFont="1" applyBorder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49" fillId="0" borderId="0" xfId="0" applyFont="1" applyAlignment="1" applyProtection="1">
      <alignment vertical="center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166" fontId="5" fillId="2" borderId="28" xfId="0" applyNumberFormat="1" applyFont="1" applyFill="1" applyBorder="1" applyAlignment="1" applyProtection="1">
      <alignment horizontal="right" vertical="center"/>
      <protection locked="0"/>
    </xf>
    <xf numFmtId="0" fontId="10" fillId="2" borderId="75" xfId="0" applyFont="1" applyFill="1" applyBorder="1" applyAlignment="1" applyProtection="1">
      <alignment horizontal="center"/>
      <protection hidden="1"/>
    </xf>
    <xf numFmtId="0" fontId="50" fillId="0" borderId="9" xfId="0" applyFont="1" applyBorder="1" applyAlignment="1" applyProtection="1">
      <alignment horizontal="center"/>
      <protection hidden="1"/>
    </xf>
    <xf numFmtId="0" fontId="50" fillId="0" borderId="76" xfId="0" applyFont="1" applyBorder="1" applyAlignment="1" applyProtection="1">
      <alignment horizontal="center"/>
      <protection hidden="1"/>
    </xf>
    <xf numFmtId="0" fontId="5" fillId="0" borderId="74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0" fillId="0" borderId="9" xfId="0" applyFont="1" applyBorder="1" applyAlignment="1" applyProtection="1">
      <alignment horizontal="center" vertical="center"/>
      <protection hidden="1"/>
    </xf>
    <xf numFmtId="0" fontId="50" fillId="0" borderId="76" xfId="0" applyFont="1" applyBorder="1" applyAlignment="1" applyProtection="1">
      <alignment horizontal="center" vertical="center"/>
      <protection hidden="1"/>
    </xf>
    <xf numFmtId="0" fontId="7" fillId="0" borderId="77" xfId="0" applyFont="1" applyBorder="1" applyAlignment="1" applyProtection="1">
      <alignment horizontal="center" vertical="center"/>
      <protection hidden="1"/>
    </xf>
    <xf numFmtId="0" fontId="5" fillId="0" borderId="77" xfId="0" applyFont="1" applyBorder="1" applyAlignment="1" applyProtection="1">
      <alignment horizontal="center" vertical="center"/>
      <protection hidden="1"/>
    </xf>
    <xf numFmtId="0" fontId="5" fillId="0" borderId="23" xfId="0" applyFont="1" applyBorder="1" applyAlignment="1" applyProtection="1">
      <alignment horizontal="center" vertical="center"/>
      <protection hidden="1"/>
    </xf>
    <xf numFmtId="0" fontId="50" fillId="0" borderId="6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178" fontId="6" fillId="0" borderId="78" xfId="0" applyNumberFormat="1" applyFont="1" applyBorder="1" applyAlignment="1" applyProtection="1">
      <alignment horizontal="center" vertical="center"/>
      <protection hidden="1"/>
    </xf>
    <xf numFmtId="178" fontId="6" fillId="0" borderId="79" xfId="0" applyNumberFormat="1" applyFont="1" applyBorder="1" applyAlignment="1" applyProtection="1">
      <alignment horizontal="center" vertical="center"/>
      <protection hidden="1"/>
    </xf>
    <xf numFmtId="2" fontId="41" fillId="0" borderId="80" xfId="0" applyNumberFormat="1" applyFont="1" applyBorder="1" applyAlignment="1" applyProtection="1">
      <alignment horizontal="center"/>
      <protection hidden="1"/>
    </xf>
    <xf numFmtId="2" fontId="41" fillId="0" borderId="81" xfId="0" applyNumberFormat="1" applyFont="1" applyBorder="1" applyAlignment="1" applyProtection="1">
      <alignment horizontal="center"/>
      <protection hidden="1"/>
    </xf>
    <xf numFmtId="2" fontId="42" fillId="0" borderId="81" xfId="0" applyNumberFormat="1" applyFont="1" applyBorder="1" applyAlignment="1" applyProtection="1">
      <alignment horizontal="center"/>
      <protection hidden="1"/>
    </xf>
    <xf numFmtId="2" fontId="6" fillId="0" borderId="82" xfId="0" applyNumberFormat="1" applyFont="1" applyBorder="1" applyAlignment="1" applyProtection="1">
      <alignment horizontal="center" vertical="center"/>
      <protection hidden="1"/>
    </xf>
    <xf numFmtId="2" fontId="6" fillId="0" borderId="83" xfId="0" applyNumberFormat="1" applyFont="1" applyBorder="1" applyAlignment="1" applyProtection="1">
      <alignment horizontal="center" vertical="center"/>
      <protection hidden="1"/>
    </xf>
    <xf numFmtId="164" fontId="15" fillId="0" borderId="0" xfId="0" applyNumberFormat="1" applyFont="1" applyAlignment="1" applyProtection="1">
      <alignment horizontal="left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164" fontId="0" fillId="0" borderId="82" xfId="0" applyNumberFormat="1" applyBorder="1" applyAlignment="1" applyProtection="1">
      <alignment horizontal="center" vertical="center"/>
      <protection hidden="1"/>
    </xf>
    <xf numFmtId="164" fontId="0" fillId="0" borderId="19" xfId="0" applyNumberFormat="1" applyBorder="1" applyAlignment="1" applyProtection="1">
      <alignment horizontal="center" vertical="center"/>
      <protection hidden="1"/>
    </xf>
    <xf numFmtId="0" fontId="0" fillId="0" borderId="19" xfId="0" applyBorder="1" applyProtection="1">
      <protection hidden="1"/>
    </xf>
    <xf numFmtId="164" fontId="0" fillId="0" borderId="19" xfId="0" applyNumberFormat="1" applyBorder="1" applyAlignment="1" applyProtection="1">
      <alignment horizontal="right" vertical="center"/>
      <protection hidden="1"/>
    </xf>
    <xf numFmtId="178" fontId="7" fillId="0" borderId="23" xfId="0" applyNumberFormat="1" applyFont="1" applyBorder="1" applyAlignment="1" applyProtection="1">
      <alignment horizontal="center"/>
      <protection hidden="1"/>
    </xf>
    <xf numFmtId="164" fontId="0" fillId="2" borderId="84" xfId="0" applyNumberFormat="1" applyFill="1" applyBorder="1" applyAlignment="1" applyProtection="1">
      <alignment horizontal="center" vertical="center"/>
      <protection hidden="1"/>
    </xf>
    <xf numFmtId="164" fontId="0" fillId="2" borderId="85" xfId="0" applyNumberFormat="1" applyFill="1" applyBorder="1" applyAlignment="1" applyProtection="1">
      <alignment horizontal="center" vertical="center"/>
      <protection hidden="1"/>
    </xf>
    <xf numFmtId="0" fontId="0" fillId="2" borderId="85" xfId="0" applyFill="1" applyBorder="1" applyProtection="1">
      <protection hidden="1"/>
    </xf>
    <xf numFmtId="164" fontId="0" fillId="2" borderId="85" xfId="0" applyNumberFormat="1" applyFill="1" applyBorder="1" applyAlignment="1" applyProtection="1">
      <alignment horizontal="right" vertical="center"/>
      <protection hidden="1"/>
    </xf>
    <xf numFmtId="178" fontId="7" fillId="2" borderId="79" xfId="0" applyNumberFormat="1" applyFont="1" applyFill="1" applyBorder="1" applyAlignment="1" applyProtection="1">
      <alignment horizontal="center"/>
      <protection hidden="1"/>
    </xf>
    <xf numFmtId="164" fontId="0" fillId="0" borderId="84" xfId="0" applyNumberFormat="1" applyBorder="1" applyAlignment="1" applyProtection="1">
      <alignment horizontal="center" vertical="center"/>
      <protection hidden="1"/>
    </xf>
    <xf numFmtId="164" fontId="0" fillId="0" borderId="85" xfId="0" applyNumberFormat="1" applyBorder="1" applyAlignment="1" applyProtection="1">
      <alignment horizontal="center" vertical="center"/>
      <protection hidden="1"/>
    </xf>
    <xf numFmtId="0" fontId="0" fillId="0" borderId="85" xfId="0" applyBorder="1" applyProtection="1">
      <protection hidden="1"/>
    </xf>
    <xf numFmtId="164" fontId="0" fillId="0" borderId="85" xfId="0" applyNumberFormat="1" applyBorder="1" applyAlignment="1" applyProtection="1">
      <alignment horizontal="right" vertical="center"/>
      <protection hidden="1"/>
    </xf>
    <xf numFmtId="178" fontId="7" fillId="0" borderId="79" xfId="0" applyNumberFormat="1" applyFont="1" applyBorder="1" applyAlignment="1" applyProtection="1">
      <alignment horizontal="center"/>
      <protection hidden="1"/>
    </xf>
    <xf numFmtId="0" fontId="0" fillId="0" borderId="84" xfId="0" applyBorder="1" applyProtection="1">
      <protection hidden="1"/>
    </xf>
    <xf numFmtId="0" fontId="0" fillId="0" borderId="85" xfId="0" applyBorder="1" applyAlignment="1" applyProtection="1">
      <alignment horizontal="right"/>
      <protection hidden="1"/>
    </xf>
    <xf numFmtId="0" fontId="0" fillId="2" borderId="84" xfId="0" applyFill="1" applyBorder="1" applyProtection="1">
      <protection hidden="1"/>
    </xf>
    <xf numFmtId="0" fontId="0" fillId="2" borderId="85" xfId="0" applyFill="1" applyBorder="1" applyAlignment="1" applyProtection="1">
      <alignment horizontal="right"/>
      <protection hidden="1"/>
    </xf>
    <xf numFmtId="178" fontId="7" fillId="0" borderId="79" xfId="0" applyNumberFormat="1" applyFont="1" applyBorder="1" applyAlignment="1" applyProtection="1">
      <alignment horizontal="center" vertical="center"/>
      <protection hidden="1"/>
    </xf>
    <xf numFmtId="178" fontId="7" fillId="2" borderId="79" xfId="0" applyNumberFormat="1" applyFont="1" applyFill="1" applyBorder="1" applyAlignment="1" applyProtection="1">
      <alignment horizontal="center" vertical="center"/>
      <protection hidden="1"/>
    </xf>
    <xf numFmtId="164" fontId="0" fillId="0" borderId="84" xfId="0" applyNumberFormat="1" applyBorder="1" applyAlignment="1" applyProtection="1">
      <alignment vertical="center"/>
      <protection hidden="1"/>
    </xf>
    <xf numFmtId="164" fontId="0" fillId="0" borderId="85" xfId="0" applyNumberFormat="1" applyBorder="1" applyAlignment="1" applyProtection="1">
      <alignment vertical="center"/>
      <protection hidden="1"/>
    </xf>
    <xf numFmtId="0" fontId="7" fillId="0" borderId="79" xfId="0" applyFont="1" applyBorder="1" applyAlignment="1" applyProtection="1">
      <alignment horizontal="center" vertical="center"/>
      <protection hidden="1"/>
    </xf>
    <xf numFmtId="164" fontId="0" fillId="2" borderId="84" xfId="0" applyNumberFormat="1" applyFill="1" applyBorder="1" applyAlignment="1" applyProtection="1">
      <alignment vertical="center"/>
      <protection hidden="1"/>
    </xf>
    <xf numFmtId="164" fontId="0" fillId="2" borderId="85" xfId="0" applyNumberFormat="1" applyFill="1" applyBorder="1" applyAlignment="1" applyProtection="1">
      <alignment vertical="center"/>
      <protection hidden="1"/>
    </xf>
    <xf numFmtId="1" fontId="7" fillId="2" borderId="79" xfId="0" applyNumberFormat="1" applyFont="1" applyFill="1" applyBorder="1" applyAlignment="1" applyProtection="1">
      <alignment horizontal="center" vertical="center"/>
      <protection hidden="1"/>
    </xf>
    <xf numFmtId="1" fontId="7" fillId="0" borderId="79" xfId="0" applyNumberFormat="1" applyFont="1" applyBorder="1" applyAlignment="1" applyProtection="1">
      <alignment horizontal="center"/>
      <protection hidden="1"/>
    </xf>
    <xf numFmtId="164" fontId="0" fillId="2" borderId="83" xfId="0" applyNumberFormat="1" applyFill="1" applyBorder="1" applyAlignment="1" applyProtection="1">
      <alignment vertical="center"/>
      <protection hidden="1"/>
    </xf>
    <xf numFmtId="164" fontId="0" fillId="2" borderId="21" xfId="0" applyNumberFormat="1" applyFill="1" applyBorder="1" applyAlignment="1" applyProtection="1">
      <alignment vertical="center"/>
      <protection hidden="1"/>
    </xf>
    <xf numFmtId="0" fontId="0" fillId="2" borderId="21" xfId="0" applyFill="1" applyBorder="1" applyProtection="1">
      <protection hidden="1"/>
    </xf>
    <xf numFmtId="164" fontId="0" fillId="2" borderId="21" xfId="0" applyNumberFormat="1" applyFill="1" applyBorder="1" applyAlignment="1" applyProtection="1">
      <alignment horizontal="right" vertical="center"/>
      <protection hidden="1"/>
    </xf>
    <xf numFmtId="178" fontId="7" fillId="2" borderId="22" xfId="0" applyNumberFormat="1" applyFont="1" applyFill="1" applyBorder="1" applyAlignment="1" applyProtection="1">
      <alignment horizontal="center"/>
      <protection hidden="1"/>
    </xf>
    <xf numFmtId="2" fontId="6" fillId="0" borderId="86" xfId="0" applyNumberFormat="1" applyFont="1" applyBorder="1" applyAlignment="1" applyProtection="1">
      <alignment horizontal="center"/>
      <protection hidden="1"/>
    </xf>
    <xf numFmtId="2" fontId="6" fillId="0" borderId="39" xfId="0" applyNumberFormat="1" applyFont="1" applyBorder="1" applyAlignment="1" applyProtection="1">
      <alignment horizontal="center" vertical="center"/>
      <protection hidden="1"/>
    </xf>
    <xf numFmtId="178" fontId="6" fillId="0" borderId="88" xfId="0" applyNumberFormat="1" applyFont="1" applyBorder="1" applyAlignment="1" applyProtection="1">
      <alignment horizontal="center" vertical="center"/>
      <protection hidden="1"/>
    </xf>
    <xf numFmtId="178" fontId="6" fillId="0" borderId="89" xfId="0" applyNumberFormat="1" applyFont="1" applyBorder="1" applyAlignment="1" applyProtection="1">
      <alignment horizontal="center" vertical="center"/>
      <protection hidden="1"/>
    </xf>
    <xf numFmtId="2" fontId="41" fillId="0" borderId="90" xfId="0" applyNumberFormat="1" applyFont="1" applyBorder="1" applyAlignment="1" applyProtection="1">
      <alignment horizontal="center"/>
      <protection hidden="1"/>
    </xf>
    <xf numFmtId="2" fontId="41" fillId="0" borderId="91" xfId="0" applyNumberFormat="1" applyFont="1" applyBorder="1" applyAlignment="1" applyProtection="1">
      <alignment horizontal="center"/>
      <protection hidden="1"/>
    </xf>
    <xf numFmtId="2" fontId="42" fillId="0" borderId="91" xfId="0" applyNumberFormat="1" applyFont="1" applyBorder="1" applyAlignment="1" applyProtection="1">
      <alignment horizontal="center"/>
      <protection hidden="1"/>
    </xf>
    <xf numFmtId="0" fontId="0" fillId="0" borderId="87" xfId="0" applyBorder="1"/>
    <xf numFmtId="0" fontId="50" fillId="0" borderId="18" xfId="0" applyFont="1" applyBorder="1" applyAlignment="1" applyProtection="1">
      <alignment horizontal="center" vertical="center"/>
      <protection hidden="1"/>
    </xf>
    <xf numFmtId="180" fontId="18" fillId="0" borderId="0" xfId="0" applyNumberFormat="1" applyFont="1" applyAlignment="1" applyProtection="1">
      <alignment horizontal="center" vertical="center"/>
      <protection hidden="1"/>
    </xf>
    <xf numFmtId="173" fontId="6" fillId="0" borderId="32" xfId="0" applyNumberFormat="1" applyFont="1" applyBorder="1" applyAlignment="1" applyProtection="1">
      <alignment horizontal="right"/>
      <protection hidden="1"/>
    </xf>
    <xf numFmtId="0" fontId="30" fillId="0" borderId="2" xfId="0" applyFont="1" applyBorder="1" applyAlignment="1" applyProtection="1">
      <alignment horizontal="right" vertical="center"/>
      <protection hidden="1"/>
    </xf>
    <xf numFmtId="178" fontId="6" fillId="2" borderId="92" xfId="0" applyNumberFormat="1" applyFont="1" applyFill="1" applyBorder="1" applyAlignment="1" applyProtection="1">
      <alignment horizontal="center" vertical="center"/>
      <protection hidden="1"/>
    </xf>
    <xf numFmtId="178" fontId="6" fillId="0" borderId="93" xfId="0" applyNumberFormat="1" applyFont="1" applyBorder="1" applyAlignment="1" applyProtection="1">
      <alignment horizontal="center" vertical="center"/>
      <protection hidden="1"/>
    </xf>
    <xf numFmtId="182" fontId="6" fillId="0" borderId="93" xfId="0" applyNumberFormat="1" applyFont="1" applyBorder="1" applyAlignment="1" applyProtection="1">
      <alignment horizontal="center" vertical="center"/>
      <protection hidden="1"/>
    </xf>
    <xf numFmtId="2" fontId="41" fillId="0" borderId="93" xfId="0" applyNumberFormat="1" applyFont="1" applyBorder="1" applyAlignment="1" applyProtection="1">
      <alignment horizontal="center"/>
      <protection hidden="1"/>
    </xf>
    <xf numFmtId="2" fontId="42" fillId="0" borderId="93" xfId="0" applyNumberFormat="1" applyFont="1" applyBorder="1" applyAlignment="1" applyProtection="1">
      <alignment horizontal="center"/>
      <protection hidden="1"/>
    </xf>
    <xf numFmtId="2" fontId="42" fillId="0" borderId="94" xfId="0" applyNumberFormat="1" applyFont="1" applyBorder="1" applyAlignment="1" applyProtection="1">
      <alignment horizontal="center"/>
      <protection hidden="1"/>
    </xf>
    <xf numFmtId="2" fontId="42" fillId="0" borderId="79" xfId="0" applyNumberFormat="1" applyFont="1" applyBorder="1" applyAlignment="1" applyProtection="1">
      <alignment horizontal="center"/>
      <protection hidden="1"/>
    </xf>
    <xf numFmtId="2" fontId="42" fillId="0" borderId="95" xfId="0" applyNumberFormat="1" applyFont="1" applyBorder="1" applyAlignment="1" applyProtection="1">
      <alignment horizontal="center"/>
      <protection hidden="1"/>
    </xf>
    <xf numFmtId="2" fontId="42" fillId="0" borderId="96" xfId="0" applyNumberFormat="1" applyFont="1" applyBorder="1" applyAlignment="1" applyProtection="1">
      <alignment horizontal="center"/>
      <protection hidden="1"/>
    </xf>
    <xf numFmtId="0" fontId="50" fillId="0" borderId="97" xfId="0" applyFont="1" applyBorder="1" applyAlignment="1" applyProtection="1">
      <alignment horizontal="center" vertical="center"/>
      <protection hidden="1"/>
    </xf>
    <xf numFmtId="0" fontId="50" fillId="0" borderId="98" xfId="0" applyFont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182" fontId="6" fillId="4" borderId="18" xfId="0" applyNumberFormat="1" applyFont="1" applyFill="1" applyBorder="1" applyAlignment="1" applyProtection="1">
      <alignment horizontal="center" vertical="center"/>
      <protection hidden="1"/>
    </xf>
    <xf numFmtId="178" fontId="6" fillId="2" borderId="80" xfId="0" applyNumberFormat="1" applyFont="1" applyFill="1" applyBorder="1" applyAlignment="1" applyProtection="1">
      <alignment horizontal="center" vertical="center"/>
      <protection hidden="1"/>
    </xf>
    <xf numFmtId="178" fontId="6" fillId="0" borderId="81" xfId="0" applyNumberFormat="1" applyFont="1" applyBorder="1" applyAlignment="1" applyProtection="1">
      <alignment horizontal="center" vertical="center"/>
      <protection hidden="1"/>
    </xf>
    <xf numFmtId="182" fontId="6" fillId="0" borderId="79" xfId="0" applyNumberFormat="1" applyFont="1" applyBorder="1" applyAlignment="1" applyProtection="1">
      <alignment horizontal="center" vertical="center"/>
      <protection hidden="1"/>
    </xf>
    <xf numFmtId="178" fontId="6" fillId="2" borderId="90" xfId="0" applyNumberFormat="1" applyFont="1" applyFill="1" applyBorder="1" applyAlignment="1" applyProtection="1">
      <alignment horizontal="center" vertical="center"/>
      <protection hidden="1"/>
    </xf>
    <xf numFmtId="178" fontId="6" fillId="0" borderId="91" xfId="0" applyNumberFormat="1" applyFont="1" applyBorder="1" applyAlignment="1" applyProtection="1">
      <alignment horizontal="center" vertical="center"/>
      <protection hidden="1"/>
    </xf>
    <xf numFmtId="182" fontId="6" fillId="0" borderId="89" xfId="0" applyNumberFormat="1" applyFont="1" applyBorder="1" applyAlignment="1" applyProtection="1">
      <alignment horizontal="center" vertical="center"/>
      <protection hidden="1"/>
    </xf>
    <xf numFmtId="182" fontId="0" fillId="0" borderId="80" xfId="0" applyNumberFormat="1" applyBorder="1" applyAlignment="1">
      <alignment horizontal="center"/>
    </xf>
    <xf numFmtId="182" fontId="0" fillId="0" borderId="81" xfId="0" applyNumberFormat="1" applyBorder="1" applyAlignment="1">
      <alignment horizontal="center"/>
    </xf>
    <xf numFmtId="182" fontId="0" fillId="0" borderId="79" xfId="0" applyNumberFormat="1" applyBorder="1" applyAlignment="1">
      <alignment horizontal="center"/>
    </xf>
    <xf numFmtId="182" fontId="0" fillId="0" borderId="7" xfId="0" applyNumberFormat="1" applyBorder="1" applyAlignment="1">
      <alignment horizontal="center"/>
    </xf>
    <xf numFmtId="182" fontId="0" fillId="0" borderId="8" xfId="0" applyNumberFormat="1" applyBorder="1" applyAlignment="1">
      <alignment horizontal="center"/>
    </xf>
    <xf numFmtId="182" fontId="0" fillId="0" borderId="91" xfId="0" applyNumberFormat="1" applyBorder="1" applyAlignment="1">
      <alignment horizontal="center"/>
    </xf>
    <xf numFmtId="182" fontId="0" fillId="0" borderId="89" xfId="0" applyNumberFormat="1" applyBorder="1" applyAlignment="1">
      <alignment horizontal="center"/>
    </xf>
    <xf numFmtId="2" fontId="6" fillId="5" borderId="93" xfId="0" applyNumberFormat="1" applyFont="1" applyFill="1" applyBorder="1" applyAlignment="1" applyProtection="1">
      <alignment horizontal="center"/>
      <protection hidden="1"/>
    </xf>
    <xf numFmtId="0" fontId="52" fillId="0" borderId="0" xfId="0" applyFont="1" applyAlignment="1" applyProtection="1">
      <alignment vertical="top"/>
      <protection hidden="1"/>
    </xf>
    <xf numFmtId="20" fontId="8" fillId="0" borderId="4" xfId="0" applyNumberFormat="1" applyFont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vertical="center"/>
      <protection hidden="1"/>
    </xf>
    <xf numFmtId="0" fontId="54" fillId="0" borderId="0" xfId="0" applyFont="1" applyAlignment="1">
      <alignment vertical="center"/>
    </xf>
    <xf numFmtId="164" fontId="54" fillId="0" borderId="0" xfId="0" applyNumberFormat="1" applyFont="1" applyAlignment="1" applyProtection="1">
      <alignment vertical="center"/>
      <protection hidden="1"/>
    </xf>
    <xf numFmtId="173" fontId="55" fillId="0" borderId="1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right" vertical="center"/>
      <protection hidden="1"/>
    </xf>
    <xf numFmtId="170" fontId="21" fillId="0" borderId="3" xfId="0" applyNumberFormat="1" applyFont="1" applyBorder="1" applyAlignment="1" applyProtection="1">
      <alignment horizontal="left" vertical="center"/>
      <protection hidden="1"/>
    </xf>
    <xf numFmtId="175" fontId="21" fillId="0" borderId="2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center" vertical="center"/>
      <protection hidden="1"/>
    </xf>
    <xf numFmtId="170" fontId="56" fillId="0" borderId="3" xfId="0" applyNumberFormat="1" applyFont="1" applyBorder="1" applyAlignment="1" applyProtection="1">
      <alignment horizontal="left" vertical="center"/>
      <protection hidden="1"/>
    </xf>
    <xf numFmtId="0" fontId="23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166" fontId="0" fillId="0" borderId="0" xfId="0" applyNumberFormat="1"/>
    <xf numFmtId="0" fontId="7" fillId="0" borderId="0" xfId="0" applyFont="1" applyAlignment="1" applyProtection="1">
      <alignment horizontal="left" vertical="center"/>
      <protection hidden="1"/>
    </xf>
    <xf numFmtId="0" fontId="6" fillId="2" borderId="9" xfId="0" applyFont="1" applyFill="1" applyBorder="1" applyAlignment="1" applyProtection="1">
      <alignment horizontal="center" vertical="center"/>
      <protection locked="0"/>
    </xf>
    <xf numFmtId="21" fontId="9" fillId="0" borderId="5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>
      <alignment horizontal="center"/>
    </xf>
    <xf numFmtId="0" fontId="0" fillId="0" borderId="13" xfId="0" applyBorder="1" applyAlignment="1">
      <alignment horizontal="right"/>
    </xf>
    <xf numFmtId="172" fontId="5" fillId="0" borderId="100" xfId="0" applyNumberFormat="1" applyFont="1" applyBorder="1" applyAlignment="1" applyProtection="1">
      <alignment horizontal="center" vertical="center"/>
      <protection hidden="1"/>
    </xf>
    <xf numFmtId="176" fontId="5" fillId="0" borderId="100" xfId="0" applyNumberFormat="1" applyFont="1" applyBorder="1" applyAlignment="1" applyProtection="1">
      <alignment horizontal="center" vertical="center"/>
      <protection hidden="1"/>
    </xf>
    <xf numFmtId="177" fontId="5" fillId="0" borderId="100" xfId="0" applyNumberFormat="1" applyFont="1" applyBorder="1" applyAlignment="1" applyProtection="1">
      <alignment horizontal="center" vertical="center"/>
      <protection hidden="1"/>
    </xf>
    <xf numFmtId="0" fontId="0" fillId="0" borderId="101" xfId="0" applyBorder="1" applyAlignment="1">
      <alignment horizontal="right"/>
    </xf>
    <xf numFmtId="172" fontId="5" fillId="0" borderId="102" xfId="0" applyNumberFormat="1" applyFont="1" applyBorder="1" applyAlignment="1" applyProtection="1">
      <alignment horizontal="center" vertical="center"/>
      <protection hidden="1"/>
    </xf>
    <xf numFmtId="176" fontId="5" fillId="0" borderId="102" xfId="0" applyNumberFormat="1" applyFont="1" applyBorder="1" applyAlignment="1" applyProtection="1">
      <alignment horizontal="center" vertical="center"/>
      <protection hidden="1"/>
    </xf>
    <xf numFmtId="177" fontId="5" fillId="0" borderId="102" xfId="0" applyNumberFormat="1" applyFont="1" applyBorder="1" applyAlignment="1" applyProtection="1">
      <alignment horizontal="center" vertical="center"/>
      <protection hidden="1"/>
    </xf>
    <xf numFmtId="0" fontId="0" fillId="6" borderId="104" xfId="0" applyFill="1" applyBorder="1"/>
    <xf numFmtId="0" fontId="0" fillId="6" borderId="105" xfId="0" applyFill="1" applyBorder="1" applyAlignment="1">
      <alignment horizontal="center"/>
    </xf>
    <xf numFmtId="0" fontId="7" fillId="6" borderId="106" xfId="0" applyFont="1" applyFill="1" applyBorder="1" applyAlignment="1" applyProtection="1">
      <alignment horizontal="center"/>
      <protection hidden="1"/>
    </xf>
    <xf numFmtId="165" fontId="0" fillId="0" borderId="42" xfId="0" applyNumberFormat="1" applyBorder="1" applyAlignment="1">
      <alignment horizontal="center"/>
    </xf>
    <xf numFmtId="171" fontId="13" fillId="0" borderId="29" xfId="0" applyNumberFormat="1" applyFont="1" applyBorder="1" applyAlignment="1" applyProtection="1">
      <alignment horizontal="center" vertical="center"/>
      <protection hidden="1"/>
    </xf>
    <xf numFmtId="171" fontId="6" fillId="0" borderId="29" xfId="0" applyNumberFormat="1" applyFont="1" applyBorder="1" applyAlignment="1" applyProtection="1">
      <alignment horizontal="center" vertical="center"/>
      <protection hidden="1"/>
    </xf>
    <xf numFmtId="171" fontId="6" fillId="0" borderId="42" xfId="0" applyNumberFormat="1" applyFont="1" applyBorder="1" applyAlignment="1" applyProtection="1">
      <alignment horizontal="center" vertical="center"/>
      <protection hidden="1"/>
    </xf>
    <xf numFmtId="171" fontId="13" fillId="0" borderId="42" xfId="0" applyNumberFormat="1" applyFont="1" applyBorder="1" applyAlignment="1" applyProtection="1">
      <alignment horizontal="center" vertical="center"/>
      <protection hidden="1"/>
    </xf>
    <xf numFmtId="0" fontId="0" fillId="0" borderId="25" xfId="0" applyBorder="1" applyAlignment="1">
      <alignment horizontal="center"/>
    </xf>
    <xf numFmtId="171" fontId="6" fillId="0" borderId="111" xfId="0" applyNumberFormat="1" applyFont="1" applyBorder="1" applyAlignment="1" applyProtection="1">
      <alignment horizontal="center" vertical="center"/>
      <protection hidden="1"/>
    </xf>
    <xf numFmtId="171" fontId="13" fillId="0" borderId="111" xfId="0" applyNumberFormat="1" applyFont="1" applyBorder="1" applyAlignment="1" applyProtection="1">
      <alignment horizontal="center" vertical="center"/>
      <protection hidden="1"/>
    </xf>
    <xf numFmtId="171" fontId="13" fillId="0" borderId="112" xfId="0" applyNumberFormat="1" applyFont="1" applyBorder="1" applyAlignment="1" applyProtection="1">
      <alignment horizontal="center" vertical="center"/>
      <protection hidden="1"/>
    </xf>
    <xf numFmtId="171" fontId="25" fillId="0" borderId="42" xfId="0" applyNumberFormat="1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center"/>
      <protection hidden="1"/>
    </xf>
    <xf numFmtId="177" fontId="6" fillId="0" borderId="12" xfId="0" applyNumberFormat="1" applyFont="1" applyBorder="1" applyAlignment="1" applyProtection="1">
      <alignment horizontal="center"/>
      <protection hidden="1"/>
    </xf>
    <xf numFmtId="0" fontId="6" fillId="0" borderId="16" xfId="0" applyFont="1" applyBorder="1" applyAlignment="1" applyProtection="1">
      <alignment horizontal="center"/>
      <protection hidden="1"/>
    </xf>
    <xf numFmtId="177" fontId="6" fillId="0" borderId="17" xfId="0" applyNumberFormat="1" applyFont="1" applyBorder="1" applyAlignment="1" applyProtection="1">
      <alignment horizontal="center"/>
      <protection hidden="1"/>
    </xf>
    <xf numFmtId="0" fontId="6" fillId="0" borderId="13" xfId="0" applyFont="1" applyBorder="1" applyAlignment="1" applyProtection="1">
      <alignment horizontal="center"/>
      <protection hidden="1"/>
    </xf>
    <xf numFmtId="177" fontId="6" fillId="0" borderId="14" xfId="0" applyNumberFormat="1" applyFont="1" applyBorder="1" applyAlignment="1" applyProtection="1">
      <alignment horizontal="center"/>
      <protection hidden="1"/>
    </xf>
    <xf numFmtId="0" fontId="10" fillId="7" borderId="109" xfId="0" applyFont="1" applyFill="1" applyBorder="1" applyAlignment="1">
      <alignment horizontal="center" vertical="center"/>
    </xf>
    <xf numFmtId="0" fontId="0" fillId="7" borderId="109" xfId="0" applyFill="1" applyBorder="1" applyAlignment="1">
      <alignment horizontal="center" vertical="center"/>
    </xf>
    <xf numFmtId="0" fontId="58" fillId="7" borderId="109" xfId="0" applyFont="1" applyFill="1" applyBorder="1" applyAlignment="1">
      <alignment horizontal="center" vertical="center"/>
    </xf>
    <xf numFmtId="0" fontId="0" fillId="7" borderId="110" xfId="0" applyFill="1" applyBorder="1" applyAlignment="1">
      <alignment horizontal="center" vertical="center"/>
    </xf>
    <xf numFmtId="0" fontId="24" fillId="7" borderId="108" xfId="0" applyFont="1" applyFill="1" applyBorder="1" applyAlignment="1">
      <alignment horizontal="center" vertical="center"/>
    </xf>
    <xf numFmtId="165" fontId="6" fillId="0" borderId="7" xfId="0" applyNumberFormat="1" applyFont="1" applyBorder="1" applyAlignment="1" applyProtection="1">
      <alignment horizontal="right"/>
      <protection hidden="1"/>
    </xf>
    <xf numFmtId="165" fontId="6" fillId="0" borderId="113" xfId="0" applyNumberFormat="1" applyFont="1" applyBorder="1" applyAlignment="1" applyProtection="1">
      <alignment horizontal="right"/>
      <protection hidden="1"/>
    </xf>
    <xf numFmtId="0" fontId="0" fillId="8" borderId="114" xfId="0" applyFill="1" applyBorder="1" applyAlignment="1">
      <alignment horizontal="center" vertical="center"/>
    </xf>
    <xf numFmtId="0" fontId="0" fillId="8" borderId="115" xfId="0" applyFill="1" applyBorder="1" applyAlignment="1">
      <alignment horizontal="center" vertical="center"/>
    </xf>
    <xf numFmtId="0" fontId="0" fillId="8" borderId="115" xfId="0" applyFill="1" applyBorder="1" applyAlignment="1">
      <alignment horizontal="center"/>
    </xf>
    <xf numFmtId="0" fontId="10" fillId="8" borderId="115" xfId="0" applyFont="1" applyFill="1" applyBorder="1" applyAlignment="1">
      <alignment horizontal="center" vertical="center"/>
    </xf>
    <xf numFmtId="0" fontId="31" fillId="8" borderId="115" xfId="0" applyFont="1" applyFill="1" applyBorder="1" applyAlignment="1">
      <alignment horizontal="center" vertical="center"/>
    </xf>
    <xf numFmtId="0" fontId="10" fillId="8" borderId="11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183" fontId="6" fillId="0" borderId="23" xfId="0" applyNumberFormat="1" applyFont="1" applyBorder="1"/>
    <xf numFmtId="0" fontId="6" fillId="0" borderId="80" xfId="0" applyFont="1" applyBorder="1" applyAlignment="1">
      <alignment horizontal="right" vertical="center"/>
    </xf>
    <xf numFmtId="183" fontId="6" fillId="0" borderId="79" xfId="0" applyNumberFormat="1" applyFont="1" applyBorder="1"/>
    <xf numFmtId="0" fontId="6" fillId="0" borderId="7" xfId="0" applyFont="1" applyBorder="1" applyAlignment="1">
      <alignment horizontal="right" vertical="center"/>
    </xf>
    <xf numFmtId="183" fontId="6" fillId="0" borderId="22" xfId="0" applyNumberFormat="1" applyFont="1" applyBorder="1"/>
    <xf numFmtId="184" fontId="6" fillId="0" borderId="23" xfId="0" applyNumberFormat="1" applyFont="1" applyBorder="1"/>
    <xf numFmtId="184" fontId="6" fillId="0" borderId="79" xfId="0" applyNumberFormat="1" applyFont="1" applyBorder="1"/>
    <xf numFmtId="184" fontId="6" fillId="0" borderId="22" xfId="0" applyNumberFormat="1" applyFont="1" applyBorder="1"/>
    <xf numFmtId="0" fontId="6" fillId="0" borderId="75" xfId="0" applyFont="1" applyBorder="1" applyAlignment="1">
      <alignment horizontal="right" vertical="center"/>
    </xf>
    <xf numFmtId="185" fontId="16" fillId="0" borderId="76" xfId="0" applyNumberFormat="1" applyFont="1" applyBorder="1" applyAlignment="1">
      <alignment horizontal="center" vertical="center"/>
    </xf>
    <xf numFmtId="0" fontId="6" fillId="8" borderId="75" xfId="0" applyFont="1" applyFill="1" applyBorder="1" applyAlignment="1" applyProtection="1">
      <alignment horizontal="center"/>
      <protection hidden="1"/>
    </xf>
    <xf numFmtId="0" fontId="6" fillId="8" borderId="76" xfId="0" applyFont="1" applyFill="1" applyBorder="1" applyAlignment="1" applyProtection="1">
      <alignment horizontal="center"/>
      <protection hidden="1"/>
    </xf>
    <xf numFmtId="0" fontId="5" fillId="6" borderId="15" xfId="0" applyFont="1" applyFill="1" applyBorder="1" applyAlignment="1" applyProtection="1">
      <alignment horizontal="center"/>
      <protection hidden="1"/>
    </xf>
    <xf numFmtId="0" fontId="5" fillId="6" borderId="24" xfId="0" applyFont="1" applyFill="1" applyBorder="1" applyAlignment="1" applyProtection="1">
      <alignment horizontal="center"/>
      <protection hidden="1"/>
    </xf>
    <xf numFmtId="2" fontId="6" fillId="0" borderId="102" xfId="0" applyNumberFormat="1" applyFont="1" applyBorder="1" applyAlignment="1" applyProtection="1">
      <alignment horizontal="center" vertical="center"/>
      <protection hidden="1"/>
    </xf>
    <xf numFmtId="179" fontId="6" fillId="0" borderId="103" xfId="0" applyNumberFormat="1" applyFont="1" applyBorder="1" applyAlignment="1" applyProtection="1">
      <alignment horizontal="center" vertical="center"/>
      <protection hidden="1"/>
    </xf>
    <xf numFmtId="2" fontId="6" fillId="0" borderId="100" xfId="0" applyNumberFormat="1" applyFont="1" applyBorder="1" applyAlignment="1" applyProtection="1">
      <alignment horizontal="center" vertical="center"/>
      <protection hidden="1"/>
    </xf>
    <xf numFmtId="179" fontId="6" fillId="0" borderId="14" xfId="0" applyNumberFormat="1" applyFont="1" applyBorder="1" applyAlignment="1" applyProtection="1">
      <alignment horizontal="center" vertical="center"/>
      <protection hidden="1"/>
    </xf>
    <xf numFmtId="173" fontId="6" fillId="0" borderId="37" xfId="0" applyNumberFormat="1" applyFont="1" applyBorder="1" applyAlignment="1" applyProtection="1">
      <alignment horizontal="right"/>
      <protection hidden="1"/>
    </xf>
    <xf numFmtId="168" fontId="6" fillId="0" borderId="3" xfId="0" applyNumberFormat="1" applyFont="1" applyBorder="1" applyAlignment="1" applyProtection="1">
      <alignment horizontal="center"/>
      <protection hidden="1"/>
    </xf>
    <xf numFmtId="173" fontId="6" fillId="0" borderId="43" xfId="0" applyNumberFormat="1" applyFont="1" applyBorder="1" applyAlignment="1" applyProtection="1">
      <alignment horizontal="right"/>
      <protection hidden="1"/>
    </xf>
    <xf numFmtId="173" fontId="6" fillId="0" borderId="33" xfId="0" applyNumberFormat="1" applyFont="1" applyBorder="1" applyAlignment="1" applyProtection="1">
      <alignment horizontal="right"/>
      <protection hidden="1"/>
    </xf>
    <xf numFmtId="0" fontId="6" fillId="0" borderId="20" xfId="0" applyFont="1" applyBorder="1" applyAlignment="1" applyProtection="1">
      <alignment horizontal="right"/>
      <protection hidden="1"/>
    </xf>
    <xf numFmtId="0" fontId="6" fillId="0" borderId="19" xfId="0" applyFont="1" applyBorder="1" applyAlignment="1" applyProtection="1">
      <alignment horizontal="right"/>
      <protection hidden="1"/>
    </xf>
    <xf numFmtId="0" fontId="6" fillId="0" borderId="26" xfId="0" applyFont="1" applyBorder="1" applyAlignment="1" applyProtection="1">
      <alignment horizontal="right"/>
      <protection hidden="1"/>
    </xf>
    <xf numFmtId="0" fontId="6" fillId="0" borderId="10" xfId="0" applyFont="1" applyBorder="1" applyAlignment="1" applyProtection="1">
      <alignment horizontal="right"/>
      <protection hidden="1"/>
    </xf>
    <xf numFmtId="0" fontId="6" fillId="0" borderId="21" xfId="0" applyFont="1" applyBorder="1" applyAlignment="1" applyProtection="1">
      <alignment horizontal="right"/>
      <protection hidden="1"/>
    </xf>
    <xf numFmtId="0" fontId="6" fillId="0" borderId="27" xfId="0" applyFont="1" applyBorder="1" applyAlignment="1" applyProtection="1">
      <alignment horizontal="right"/>
      <protection hidden="1"/>
    </xf>
    <xf numFmtId="169" fontId="6" fillId="2" borderId="1" xfId="0" applyNumberFormat="1" applyFont="1" applyFill="1" applyBorder="1" applyAlignment="1" applyProtection="1">
      <alignment horizontal="center" vertical="center"/>
      <protection locked="0"/>
    </xf>
    <xf numFmtId="169" fontId="6" fillId="2" borderId="3" xfId="0" applyNumberFormat="1" applyFont="1" applyFill="1" applyBorder="1" applyAlignment="1" applyProtection="1">
      <alignment horizontal="center" vertical="center"/>
      <protection locked="0"/>
    </xf>
    <xf numFmtId="2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right" vertical="center"/>
      <protection hidden="1"/>
    </xf>
    <xf numFmtId="0" fontId="6" fillId="0" borderId="3" xfId="0" applyFont="1" applyBorder="1" applyAlignment="1" applyProtection="1">
      <alignment horizontal="right" vertical="center"/>
      <protection hidden="1"/>
    </xf>
    <xf numFmtId="0" fontId="5" fillId="0" borderId="45" xfId="0" applyFont="1" applyBorder="1" applyAlignment="1" applyProtection="1">
      <alignment horizontal="center" vertical="center"/>
      <protection hidden="1"/>
    </xf>
    <xf numFmtId="0" fontId="5" fillId="0" borderId="47" xfId="0" applyFont="1" applyBorder="1" applyAlignment="1" applyProtection="1">
      <alignment horizontal="center" vertical="center"/>
      <protection hidden="1"/>
    </xf>
    <xf numFmtId="0" fontId="6" fillId="0" borderId="73" xfId="0" applyFont="1" applyBorder="1" applyAlignment="1" applyProtection="1">
      <alignment horizontal="right" vertical="center"/>
      <protection hidden="1"/>
    </xf>
    <xf numFmtId="0" fontId="6" fillId="0" borderId="99" xfId="0" applyFont="1" applyBorder="1" applyAlignment="1" applyProtection="1">
      <alignment horizontal="right" vertical="center"/>
      <protection hidden="1"/>
    </xf>
    <xf numFmtId="0" fontId="6" fillId="0" borderId="74" xfId="0" applyFont="1" applyBorder="1" applyAlignment="1" applyProtection="1">
      <alignment horizontal="right" vertical="center"/>
      <protection hidden="1"/>
    </xf>
    <xf numFmtId="0" fontId="18" fillId="0" borderId="2" xfId="0" applyFont="1" applyBorder="1" applyAlignment="1" applyProtection="1">
      <alignment horizontal="right"/>
      <protection hidden="1"/>
    </xf>
    <xf numFmtId="0" fontId="18" fillId="0" borderId="3" xfId="0" applyFont="1" applyBorder="1" applyAlignment="1" applyProtection="1">
      <alignment horizontal="right"/>
      <protection hidden="1"/>
    </xf>
    <xf numFmtId="0" fontId="57" fillId="0" borderId="2" xfId="0" applyFont="1" applyBorder="1" applyAlignment="1" applyProtection="1">
      <alignment horizontal="right"/>
      <protection hidden="1"/>
    </xf>
    <xf numFmtId="186" fontId="6" fillId="2" borderId="1" xfId="0" applyNumberFormat="1" applyFont="1" applyFill="1" applyBorder="1" applyAlignment="1" applyProtection="1">
      <alignment horizontal="center" vertical="center"/>
      <protection locked="0"/>
    </xf>
    <xf numFmtId="186" fontId="6" fillId="2" borderId="3" xfId="0" applyNumberFormat="1" applyFont="1" applyFill="1" applyBorder="1" applyAlignment="1" applyProtection="1">
      <alignment horizontal="center" vertical="center"/>
      <protection locked="0"/>
    </xf>
    <xf numFmtId="168" fontId="18" fillId="0" borderId="5" xfId="0" applyNumberFormat="1" applyFont="1" applyBorder="1" applyAlignment="1" applyProtection="1">
      <alignment horizontal="center" vertical="center"/>
      <protection hidden="1"/>
    </xf>
    <xf numFmtId="0" fontId="18" fillId="0" borderId="5" xfId="0" applyFont="1" applyBorder="1" applyAlignment="1" applyProtection="1">
      <alignment horizontal="right" vertical="center"/>
      <protection hidden="1"/>
    </xf>
    <xf numFmtId="168" fontId="6" fillId="0" borderId="1" xfId="0" applyNumberFormat="1" applyFont="1" applyBorder="1" applyAlignment="1" applyProtection="1">
      <alignment horizontal="center"/>
      <protection hidden="1"/>
    </xf>
    <xf numFmtId="168" fontId="6" fillId="0" borderId="3" xfId="0" applyNumberFormat="1" applyFont="1" applyBorder="1" applyAlignment="1" applyProtection="1">
      <alignment horizontal="center"/>
      <protection hidden="1"/>
    </xf>
    <xf numFmtId="168" fontId="6" fillId="0" borderId="2" xfId="0" applyNumberFormat="1" applyFont="1" applyBorder="1" applyAlignment="1" applyProtection="1">
      <alignment horizontal="center"/>
      <protection hidden="1"/>
    </xf>
    <xf numFmtId="0" fontId="27" fillId="0" borderId="49" xfId="0" applyFont="1" applyBorder="1" applyAlignment="1" applyProtection="1">
      <alignment horizontal="center" vertical="center"/>
      <protection hidden="1"/>
    </xf>
    <xf numFmtId="0" fontId="27" fillId="0" borderId="50" xfId="0" applyFont="1" applyBorder="1" applyAlignment="1" applyProtection="1">
      <alignment horizontal="center" vertical="center"/>
      <protection hidden="1"/>
    </xf>
    <xf numFmtId="0" fontId="27" fillId="0" borderId="51" xfId="0" applyFont="1" applyBorder="1" applyAlignment="1" applyProtection="1">
      <alignment horizontal="center" vertical="center"/>
      <protection hidden="1"/>
    </xf>
    <xf numFmtId="0" fontId="5" fillId="0" borderId="52" xfId="0" applyFont="1" applyBorder="1" applyAlignment="1" applyProtection="1">
      <alignment horizontal="right" vertical="center"/>
      <protection hidden="1"/>
    </xf>
    <xf numFmtId="0" fontId="5" fillId="0" borderId="53" xfId="0" applyFont="1" applyBorder="1" applyAlignment="1" applyProtection="1">
      <alignment horizontal="right" vertical="center"/>
      <protection hidden="1"/>
    </xf>
    <xf numFmtId="0" fontId="5" fillId="0" borderId="55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71" fontId="6" fillId="0" borderId="97" xfId="0" applyNumberFormat="1" applyFont="1" applyBorder="1" applyAlignment="1" applyProtection="1">
      <alignment horizontal="center"/>
      <protection hidden="1"/>
    </xf>
    <xf numFmtId="171" fontId="6" fillId="0" borderId="97" xfId="0" applyNumberFormat="1" applyFont="1" applyBorder="1" applyAlignment="1">
      <alignment horizontal="center"/>
    </xf>
    <xf numFmtId="171" fontId="6" fillId="0" borderId="98" xfId="0" applyNumberFormat="1" applyFont="1" applyBorder="1" applyAlignment="1">
      <alignment horizontal="center"/>
    </xf>
    <xf numFmtId="171" fontId="6" fillId="0" borderId="8" xfId="0" applyNumberFormat="1" applyFont="1" applyBorder="1" applyAlignment="1" applyProtection="1">
      <alignment horizontal="center"/>
      <protection hidden="1"/>
    </xf>
    <xf numFmtId="171" fontId="6" fillId="0" borderId="8" xfId="0" applyNumberFormat="1" applyFont="1" applyBorder="1" applyAlignment="1">
      <alignment horizontal="center"/>
    </xf>
    <xf numFmtId="171" fontId="6" fillId="0" borderId="22" xfId="0" applyNumberFormat="1" applyFont="1" applyBorder="1" applyAlignment="1">
      <alignment horizontal="center"/>
    </xf>
    <xf numFmtId="0" fontId="24" fillId="0" borderId="107" xfId="0" applyFont="1" applyBorder="1" applyAlignment="1">
      <alignment horizontal="center" vertical="center"/>
    </xf>
    <xf numFmtId="0" fontId="0" fillId="0" borderId="41" xfId="0" applyBorder="1" applyAlignment="1">
      <alignment horizontal="center"/>
    </xf>
    <xf numFmtId="176" fontId="6" fillId="0" borderId="44" xfId="0" applyNumberFormat="1" applyFont="1" applyBorder="1" applyAlignment="1" applyProtection="1">
      <alignment horizontal="left"/>
      <protection hidden="1"/>
    </xf>
    <xf numFmtId="176" fontId="6" fillId="0" borderId="117" xfId="0" applyNumberFormat="1" applyFont="1" applyBorder="1" applyAlignment="1" applyProtection="1">
      <alignment horizontal="left"/>
      <protection hidden="1"/>
    </xf>
    <xf numFmtId="176" fontId="6" fillId="0" borderId="32" xfId="0" applyNumberFormat="1" applyFont="1" applyBorder="1" applyAlignment="1" applyProtection="1">
      <alignment horizontal="left"/>
      <protection hidden="1"/>
    </xf>
    <xf numFmtId="176" fontId="6" fillId="0" borderId="34" xfId="0" applyNumberFormat="1" applyFont="1" applyBorder="1" applyAlignment="1" applyProtection="1">
      <alignment horizontal="left"/>
      <protection hidden="1"/>
    </xf>
    <xf numFmtId="176" fontId="0" fillId="0" borderId="32" xfId="0" applyNumberFormat="1" applyBorder="1" applyAlignment="1" applyProtection="1">
      <alignment horizontal="left"/>
      <protection hidden="1"/>
    </xf>
    <xf numFmtId="176" fontId="0" fillId="0" borderId="34" xfId="0" applyNumberFormat="1" applyBorder="1" applyAlignment="1" applyProtection="1">
      <alignment horizontal="left"/>
      <protection hidden="1"/>
    </xf>
    <xf numFmtId="176" fontId="6" fillId="0" borderId="36" xfId="0" applyNumberFormat="1" applyFont="1" applyBorder="1" applyAlignment="1" applyProtection="1">
      <alignment horizontal="left"/>
      <protection hidden="1"/>
    </xf>
    <xf numFmtId="176" fontId="6" fillId="0" borderId="38" xfId="0" applyNumberFormat="1" applyFont="1" applyBorder="1" applyAlignment="1" applyProtection="1">
      <alignment horizontal="left"/>
      <protection hidden="1"/>
    </xf>
    <xf numFmtId="176" fontId="6" fillId="0" borderId="5" xfId="0" applyNumberFormat="1" applyFont="1" applyBorder="1" applyAlignment="1" applyProtection="1">
      <alignment horizontal="left"/>
      <protection hidden="1"/>
    </xf>
    <xf numFmtId="176" fontId="6" fillId="0" borderId="119" xfId="0" applyNumberFormat="1" applyFont="1" applyBorder="1" applyAlignment="1" applyProtection="1">
      <alignment horizontal="left"/>
      <protection hidden="1"/>
    </xf>
    <xf numFmtId="176" fontId="6" fillId="0" borderId="0" xfId="0" applyNumberFormat="1" applyFont="1" applyBorder="1" applyAlignment="1" applyProtection="1">
      <alignment horizontal="left"/>
      <protection hidden="1"/>
    </xf>
    <xf numFmtId="176" fontId="6" fillId="0" borderId="118" xfId="0" applyNumberFormat="1" applyFont="1" applyBorder="1" applyAlignment="1" applyProtection="1">
      <alignment horizontal="left"/>
      <protection hidden="1"/>
    </xf>
    <xf numFmtId="173" fontId="6" fillId="0" borderId="37" xfId="0" applyNumberFormat="1" applyFont="1" applyBorder="1" applyProtection="1">
      <protection hidden="1"/>
    </xf>
    <xf numFmtId="176" fontId="6" fillId="0" borderId="4" xfId="0" applyNumberFormat="1" applyFont="1" applyBorder="1" applyAlignment="1" applyProtection="1">
      <alignment horizontal="left"/>
      <protection hidden="1"/>
    </xf>
    <xf numFmtId="176" fontId="6" fillId="0" borderId="120" xfId="0" applyNumberFormat="1" applyFont="1" applyBorder="1" applyAlignment="1" applyProtection="1">
      <alignment horizontal="left"/>
      <protection hidden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0" fillId="0" borderId="28" xfId="0" applyFont="1" applyBorder="1" applyAlignment="1" applyProtection="1">
      <alignment horizontal="center" vertical="center"/>
      <protection hidden="1"/>
    </xf>
    <xf numFmtId="180" fontId="5" fillId="2" borderId="28" xfId="0" applyNumberFormat="1" applyFont="1" applyFill="1" applyBorder="1" applyAlignment="1" applyProtection="1">
      <alignment horizontal="center" vertical="center"/>
      <protection locked="0"/>
    </xf>
  </cellXfs>
  <cellStyles count="17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Standard" xfId="0" builtinId="0"/>
  </cellStyles>
  <dxfs count="0"/>
  <tableStyles count="0" defaultTableStyle="TableStyleMedium9" defaultPivotStyle="PivotStyleMedium7"/>
  <colors>
    <mruColors>
      <color rgb="FFE2EFDA"/>
      <color rgb="FFFFF803"/>
      <color rgb="FFFF9000"/>
      <color rgb="FFC05C16"/>
      <color rgb="FFFDFAD6"/>
      <color rgb="FFFAFDE0"/>
      <color rgb="FFFFA1A3"/>
      <color rgb="FFFF65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Standortgrafik!$O$15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Standortgrafik!$O$16:$O$58</c:f>
              <c:numCache>
                <c:formatCode>0.00</c:formatCode>
                <c:ptCount val="43"/>
                <c:pt idx="0">
                  <c:v>20.006263345753496</c:v>
                </c:pt>
                <c:pt idx="1">
                  <c:v>20.002365994571221</c:v>
                </c:pt>
                <c:pt idx="2">
                  <c:v>19.998475386024666</c:v>
                </c:pt>
                <c:pt idx="3">
                  <c:v>19.994591514793456</c:v>
                </c:pt>
                <c:pt idx="4">
                  <c:v>19.990714375566256</c:v>
                </c:pt>
                <c:pt idx="5">
                  <c:v>19.986843963040769</c:v>
                </c:pt>
                <c:pt idx="6">
                  <c:v>19.982980271923566</c:v>
                </c:pt>
                <c:pt idx="7">
                  <c:v>19.979123296930595</c:v>
                </c:pt>
                <c:pt idx="8">
                  <c:v>19.975273032786447</c:v>
                </c:pt>
                <c:pt idx="9">
                  <c:v>19.971429474224919</c:v>
                </c:pt>
                <c:pt idx="10">
                  <c:v>19.967592615988735</c:v>
                </c:pt>
                <c:pt idx="11">
                  <c:v>19.963762452829485</c:v>
                </c:pt>
                <c:pt idx="12">
                  <c:v>19.959938979507854</c:v>
                </c:pt>
                <c:pt idx="13">
                  <c:v>19.95612219079328</c:v>
                </c:pt>
                <c:pt idx="14">
                  <c:v>19.952312081464186</c:v>
                </c:pt>
                <c:pt idx="15">
                  <c:v>19.948508646307857</c:v>
                </c:pt>
                <c:pt idx="16">
                  <c:v>19.944711880120451</c:v>
                </c:pt>
                <c:pt idx="17">
                  <c:v>19.940921777707047</c:v>
                </c:pt>
                <c:pt idx="18">
                  <c:v>19.937138333881308</c:v>
                </c:pt>
                <c:pt idx="19">
                  <c:v>19.933361543465992</c:v>
                </c:pt>
                <c:pt idx="20">
                  <c:v>19.929591401292555</c:v>
                </c:pt>
                <c:pt idx="21">
                  <c:v>19.925827902201149</c:v>
                </c:pt>
                <c:pt idx="22">
                  <c:v>19.922071041040795</c:v>
                </c:pt>
                <c:pt idx="23">
                  <c:v>19.918320812669208</c:v>
                </c:pt>
                <c:pt idx="24">
                  <c:v>19.91457721195286</c:v>
                </c:pt>
                <c:pt idx="25">
                  <c:v>19.910840233766919</c:v>
                </c:pt>
                <c:pt idx="26">
                  <c:v>19.907109872995193</c:v>
                </c:pt>
                <c:pt idx="27">
                  <c:v>19.903386124530243</c:v>
                </c:pt>
                <c:pt idx="28">
                  <c:v>19.899668983273273</c:v>
                </c:pt>
                <c:pt idx="29">
                  <c:v>19.895958444134124</c:v>
                </c:pt>
                <c:pt idx="30">
                  <c:v>19.892254502031278</c:v>
                </c:pt>
                <c:pt idx="31">
                  <c:v>19.888557151891746</c:v>
                </c:pt>
                <c:pt idx="32">
                  <c:v>19.88486638865129</c:v>
                </c:pt>
                <c:pt idx="33">
                  <c:v>19.881182207254142</c:v>
                </c:pt>
                <c:pt idx="34">
                  <c:v>19.877504602653005</c:v>
                </c:pt>
                <c:pt idx="35">
                  <c:v>19.873833569809335</c:v>
                </c:pt>
                <c:pt idx="36">
                  <c:v>19.870169103693001</c:v>
                </c:pt>
                <c:pt idx="37">
                  <c:v>19.8665111992824</c:v>
                </c:pt>
                <c:pt idx="38">
                  <c:v>19.862859851564451</c:v>
                </c:pt>
                <c:pt idx="39">
                  <c:v>19.859215055534378</c:v>
                </c:pt>
                <c:pt idx="40">
                  <c:v>19.855576806196154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697-F344-A153-E67748913CCB}"/>
            </c:ext>
          </c:extLst>
        </c:ser>
        <c:ser>
          <c:idx val="0"/>
          <c:order val="1"/>
          <c:tx>
            <c:strRef>
              <c:f>Standortgrafik!$P$15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Standortgrafik!$P$16:$P$58</c:f>
              <c:numCache>
                <c:formatCode>0.00</c:formatCode>
                <c:ptCount val="43"/>
                <c:pt idx="0">
                  <c:v>19.008500864811879</c:v>
                </c:pt>
                <c:pt idx="1">
                  <c:v>19.035195356483371</c:v>
                </c:pt>
                <c:pt idx="2">
                  <c:v>19.061774141476292</c:v>
                </c:pt>
                <c:pt idx="3">
                  <c:v>19.088238320764447</c:v>
                </c:pt>
                <c:pt idx="4">
                  <c:v>19.114588976988955</c:v>
                </c:pt>
                <c:pt idx="5">
                  <c:v>19.140827174885999</c:v>
                </c:pt>
                <c:pt idx="6">
                  <c:v>19.166953961702063</c:v>
                </c:pt>
                <c:pt idx="7">
                  <c:v>19.192970367596956</c:v>
                </c:pt>
                <c:pt idx="8">
                  <c:v>19.218877406034551</c:v>
                </c:pt>
                <c:pt idx="9">
                  <c:v>19.244676074162555</c:v>
                </c:pt>
                <c:pt idx="10">
                  <c:v>19.270367353180802</c:v>
                </c:pt>
                <c:pt idx="11">
                  <c:v>19.295952208699305</c:v>
                </c:pt>
                <c:pt idx="12">
                  <c:v>19.321431591085229</c:v>
                </c:pt>
                <c:pt idx="13">
                  <c:v>19.346806435801057</c:v>
                </c:pt>
                <c:pt idx="14">
                  <c:v>19.372077663732341</c:v>
                </c:pt>
                <c:pt idx="15">
                  <c:v>19.397246181506432</c:v>
                </c:pt>
                <c:pt idx="16">
                  <c:v>19.422312881802213</c:v>
                </c:pt>
                <c:pt idx="17">
                  <c:v>19.4472786436516</c:v>
                </c:pt>
                <c:pt idx="18">
                  <c:v>19.472144332731887</c:v>
                </c:pt>
                <c:pt idx="19">
                  <c:v>19.496910801651097</c:v>
                </c:pt>
                <c:pt idx="20">
                  <c:v>19.521578890224362</c:v>
                </c:pt>
                <c:pt idx="21">
                  <c:v>19.546149425744147</c:v>
                </c:pt>
                <c:pt idx="22">
                  <c:v>19.570623223241569</c:v>
                </c:pt>
                <c:pt idx="23">
                  <c:v>19.59500108574224</c:v>
                </c:pt>
                <c:pt idx="24">
                  <c:v>19.619283804514168</c:v>
                </c:pt>
                <c:pt idx="25">
                  <c:v>19.643472159309965</c:v>
                </c:pt>
                <c:pt idx="26">
                  <c:v>19.667566918601551</c:v>
                </c:pt>
                <c:pt idx="27">
                  <c:v>19.691568839809918</c:v>
                </c:pt>
                <c:pt idx="28">
                  <c:v>19.715478669528238</c:v>
                </c:pt>
                <c:pt idx="29">
                  <c:v>19.739297143739122</c:v>
                </c:pt>
                <c:pt idx="30">
                  <c:v>19.763024988026643</c:v>
                </c:pt>
                <c:pt idx="31">
                  <c:v>19.786662917782394</c:v>
                </c:pt>
                <c:pt idx="32">
                  <c:v>19.810211638407395</c:v>
                </c:pt>
                <c:pt idx="33">
                  <c:v>19.833671845507183</c:v>
                </c:pt>
                <c:pt idx="34">
                  <c:v>19.857044225083712</c:v>
                </c:pt>
                <c:pt idx="35">
                  <c:v>19.880329453721401</c:v>
                </c:pt>
                <c:pt idx="36">
                  <c:v>19.90352819876847</c:v>
                </c:pt>
                <c:pt idx="37">
                  <c:v>19.926641118514738</c:v>
                </c:pt>
                <c:pt idx="38">
                  <c:v>19.949668862364319</c:v>
                </c:pt>
                <c:pt idx="39">
                  <c:v>19.972612071003823</c:v>
                </c:pt>
                <c:pt idx="40">
                  <c:v>19.995471376567082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697-F344-A153-E67748913CCB}"/>
            </c:ext>
          </c:extLst>
        </c:ser>
        <c:ser>
          <c:idx val="1"/>
          <c:order val="2"/>
          <c:tx>
            <c:strRef>
              <c:f>Standortgrafik!$Q$15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Standortgrafik!$Q$16:$Q$58</c:f>
              <c:numCache>
                <c:formatCode>0.00</c:formatCode>
                <c:ptCount val="43"/>
                <c:pt idx="0">
                  <c:v>19.65525473939806</c:v>
                </c:pt>
                <c:pt idx="1">
                  <c:v>19.651445518150751</c:v>
                </c:pt>
                <c:pt idx="2">
                  <c:v>19.64764293113916</c:v>
                </c:pt>
                <c:pt idx="3">
                  <c:v>19.643846973190023</c:v>
                </c:pt>
                <c:pt idx="4">
                  <c:v>19.640057639138831</c:v>
                </c:pt>
                <c:pt idx="5">
                  <c:v>19.636274923829774</c:v>
                </c:pt>
                <c:pt idx="6">
                  <c:v>19.632498822115849</c:v>
                </c:pt>
                <c:pt idx="7">
                  <c:v>19.62872932885864</c:v>
                </c:pt>
                <c:pt idx="8">
                  <c:v>19.624966438928539</c:v>
                </c:pt>
                <c:pt idx="9">
                  <c:v>19.621210147204522</c:v>
                </c:pt>
                <c:pt idx="10">
                  <c:v>19.617460448574093</c:v>
                </c:pt>
                <c:pt idx="11">
                  <c:v>19.613717337933622</c:v>
                </c:pt>
                <c:pt idx="12">
                  <c:v>19.609980810187835</c:v>
                </c:pt>
                <c:pt idx="13">
                  <c:v>19.606250860250327</c:v>
                </c:pt>
                <c:pt idx="14">
                  <c:v>19.602527483043048</c:v>
                </c:pt>
                <c:pt idx="15">
                  <c:v>19.598810673496587</c:v>
                </c:pt>
                <c:pt idx="16">
                  <c:v>19.595100426550118</c:v>
                </c:pt>
                <c:pt idx="17">
                  <c:v>19.591396737151229</c:v>
                </c:pt>
                <c:pt idx="18">
                  <c:v>19.587699600256144</c:v>
                </c:pt>
                <c:pt idx="19">
                  <c:v>19.584009010829618</c:v>
                </c:pt>
                <c:pt idx="20">
                  <c:v>19.580324963844589</c:v>
                </c:pt>
                <c:pt idx="21">
                  <c:v>19.57664745428292</c:v>
                </c:pt>
                <c:pt idx="22">
                  <c:v>19.572976477134489</c:v>
                </c:pt>
                <c:pt idx="23">
                  <c:v>19.569312027397814</c:v>
                </c:pt>
                <c:pt idx="24">
                  <c:v>19.565654100079939</c:v>
                </c:pt>
                <c:pt idx="25">
                  <c:v>19.562002690195982</c:v>
                </c:pt>
                <c:pt idx="26">
                  <c:v>19.558357792769755</c:v>
                </c:pt>
                <c:pt idx="27">
                  <c:v>19.5547194028332</c:v>
                </c:pt>
                <c:pt idx="28">
                  <c:v>19.551087515426843</c:v>
                </c:pt>
                <c:pt idx="29">
                  <c:v>19.547462125599282</c:v>
                </c:pt>
                <c:pt idx="30">
                  <c:v>19.543843228407695</c:v>
                </c:pt>
                <c:pt idx="31">
                  <c:v>19.540230818917451</c:v>
                </c:pt>
                <c:pt idx="32">
                  <c:v>19.536624892202042</c:v>
                </c:pt>
                <c:pt idx="33">
                  <c:v>19.533025443343547</c:v>
                </c:pt>
                <c:pt idx="34">
                  <c:v>19.529432467432116</c:v>
                </c:pt>
                <c:pt idx="35">
                  <c:v>19.525845959566084</c:v>
                </c:pt>
                <c:pt idx="36">
                  <c:v>19.522265914852198</c:v>
                </c:pt>
                <c:pt idx="37">
                  <c:v>19.518692328405166</c:v>
                </c:pt>
                <c:pt idx="38">
                  <c:v>19.515125195348162</c:v>
                </c:pt>
                <c:pt idx="39">
                  <c:v>19.511564510812264</c:v>
                </c:pt>
                <c:pt idx="40">
                  <c:v>19.508010269937017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697-F344-A153-E67748913CCB}"/>
            </c:ext>
          </c:extLst>
        </c:ser>
        <c:ser>
          <c:idx val="2"/>
          <c:order val="3"/>
          <c:tx>
            <c:strRef>
              <c:f>Standortgrafik!$R$15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4-F697-F344-A153-E67748913CCB}"/>
              </c:ext>
            </c:extLst>
          </c:dPt>
          <c:xVal>
            <c:numRef>
              <c:f>Standortgrafik!$R$16:$R$58</c:f>
              <c:numCache>
                <c:formatCode>General</c:formatCode>
                <c:ptCount val="43"/>
                <c:pt idx="41" formatCode="0.00">
                  <c:v>19.936907660848625</c:v>
                </c:pt>
                <c:pt idx="42" formatCode="0.00">
                  <c:v>19.572669225930063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697-F344-A153-E67748913C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5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5"/>
        <c:minorUnit val="0.16660000000000003"/>
      </c:valAx>
      <c:spPr>
        <a:noFill/>
        <a:ln>
          <a:noFill/>
        </a:ln>
        <a:effectLst/>
      </c:spPr>
    </c:plotArea>
    <c:plotVisOnly val="0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57.044982267149123</c:v>
                </c:pt>
                <c:pt idx="1">
                  <c:v>57.044982267149123</c:v>
                </c:pt>
                <c:pt idx="2">
                  <c:v>62.367596508580618</c:v>
                </c:pt>
                <c:pt idx="3">
                  <c:v>65.282188805207738</c:v>
                </c:pt>
                <c:pt idx="4">
                  <c:v>67.429628299604076</c:v>
                </c:pt>
                <c:pt idx="5">
                  <c:v>69.18931916351255</c:v>
                </c:pt>
                <c:pt idx="6">
                  <c:v>70.701594743710245</c:v>
                </c:pt>
                <c:pt idx="7">
                  <c:v>72.037269096886689</c:v>
                </c:pt>
                <c:pt idx="8">
                  <c:v>73.238149342624126</c:v>
                </c:pt>
                <c:pt idx="9">
                  <c:v>74.331435834554497</c:v>
                </c:pt>
                <c:pt idx="10">
                  <c:v>75.336044553821239</c:v>
                </c:pt>
                <c:pt idx="11">
                  <c:v>76.265786601066566</c:v>
                </c:pt>
                <c:pt idx="12">
                  <c:v>77.131128018671518</c:v>
                </c:pt>
                <c:pt idx="13">
                  <c:v>77.940236304631924</c:v>
                </c:pt>
                <c:pt idx="14">
                  <c:v>78.699638541095851</c:v>
                </c:pt>
                <c:pt idx="15">
                  <c:v>79.414654288575036</c:v>
                </c:pt>
                <c:pt idx="16">
                  <c:v>80.089691035391638</c:v>
                </c:pt>
                <c:pt idx="17">
                  <c:v>80.728452169937952</c:v>
                </c:pt>
                <c:pt idx="18">
                  <c:v>81.334087272666977</c:v>
                </c:pt>
                <c:pt idx="19">
                  <c:v>81.909303209351549</c:v>
                </c:pt>
                <c:pt idx="20">
                  <c:v>82.456447881469273</c:v>
                </c:pt>
                <c:pt idx="21">
                  <c:v>82.977574464455301</c:v>
                </c:pt>
                <c:pt idx="22">
                  <c:v>83.474491439828171</c:v>
                </c:pt>
                <c:pt idx="23">
                  <c:v>83.948802098494298</c:v>
                </c:pt>
                <c:pt idx="24">
                  <c:v>84.401936115440378</c:v>
                </c:pt>
                <c:pt idx="25">
                  <c:v>84.835175067767693</c:v>
                </c:pt>
                <c:pt idx="26">
                  <c:v>85.249673265750516</c:v>
                </c:pt>
                <c:pt idx="27">
                  <c:v>85.646474913905934</c:v>
                </c:pt>
                <c:pt idx="28">
                  <c:v>86.026528367352228</c:v>
                </c:pt>
                <c:pt idx="29">
                  <c:v>86.390698066394805</c:v>
                </c:pt>
                <c:pt idx="30">
                  <c:v>86.739774598392898</c:v>
                </c:pt>
                <c:pt idx="31">
                  <c:v>87.074483236418473</c:v>
                </c:pt>
                <c:pt idx="32">
                  <c:v>87.395491229349375</c:v>
                </c:pt>
                <c:pt idx="33">
                  <c:v>87.703414061126637</c:v>
                </c:pt>
                <c:pt idx="34">
                  <c:v>87.998820853214397</c:v>
                </c:pt>
                <c:pt idx="35">
                  <c:v>88.282239050445355</c:v>
                </c:pt>
                <c:pt idx="36">
                  <c:v>88.554158503980887</c:v>
                </c:pt>
                <c:pt idx="37">
                  <c:v>88.815035044270928</c:v>
                </c:pt>
                <c:pt idx="38">
                  <c:v>89.065293620356044</c:v>
                </c:pt>
                <c:pt idx="39">
                  <c:v>89.30533106863038</c:v>
                </c:pt>
                <c:pt idx="40">
                  <c:v>89.535518563542098</c:v>
                </c:pt>
                <c:pt idx="41">
                  <c:v>89.756203794090879</c:v>
                </c:pt>
                <c:pt idx="42">
                  <c:v>89.967712902962774</c:v>
                </c:pt>
                <c:pt idx="43">
                  <c:v>90.170352219392782</c:v>
                </c:pt>
                <c:pt idx="44">
                  <c:v>90.364409812109898</c:v>
                </c:pt>
                <c:pt idx="45">
                  <c:v>90.550156884800685</c:v>
                </c:pt>
                <c:pt idx="46">
                  <c:v>90.727849033268683</c:v>
                </c:pt>
                <c:pt idx="47">
                  <c:v>90.897727380742026</c:v>
                </c:pt>
                <c:pt idx="48">
                  <c:v>91.060019605498894</c:v>
                </c:pt>
                <c:pt idx="49">
                  <c:v>91.214940873054672</c:v>
                </c:pt>
                <c:pt idx="50">
                  <c:v>91.362694683525774</c:v>
                </c:pt>
                <c:pt idx="51">
                  <c:v>91.503473643402856</c:v>
                </c:pt>
                <c:pt idx="52">
                  <c:v>91.637460169788937</c:v>
                </c:pt>
                <c:pt idx="53">
                  <c:v>91.764827134147936</c:v>
                </c:pt>
                <c:pt idx="54">
                  <c:v>91.885738451747102</c:v>
                </c:pt>
                <c:pt idx="55">
                  <c:v>92.000349622232079</c:v>
                </c:pt>
                <c:pt idx="56">
                  <c:v>92.10880822612944</c:v>
                </c:pt>
                <c:pt idx="57">
                  <c:v>92.211254381518131</c:v>
                </c:pt>
                <c:pt idx="58">
                  <c:v>92.307821164624897</c:v>
                </c:pt>
                <c:pt idx="59">
                  <c:v>92.398634997681597</c:v>
                </c:pt>
                <c:pt idx="60">
                  <c:v>92.483816007011001</c:v>
                </c:pt>
                <c:pt idx="61">
                  <c:v>92.563478353991172</c:v>
                </c:pt>
                <c:pt idx="62">
                  <c:v>92.63773054126068</c:v>
                </c:pt>
                <c:pt idx="63">
                  <c:v>92.706675696283867</c:v>
                </c:pt>
                <c:pt idx="64">
                  <c:v>92.77041183417316</c:v>
                </c:pt>
                <c:pt idx="65">
                  <c:v>92.829032101473217</c:v>
                </c:pt>
                <c:pt idx="66">
                  <c:v>92.882625002440989</c:v>
                </c:pt>
                <c:pt idx="67">
                  <c:v>92.931274609201864</c:v>
                </c:pt>
                <c:pt idx="68">
                  <c:v>92.975060757028643</c:v>
                </c:pt>
                <c:pt idx="69">
                  <c:v>93.014059225868436</c:v>
                </c:pt>
                <c:pt idx="70">
                  <c:v>93.048341909134706</c:v>
                </c:pt>
                <c:pt idx="71">
                  <c:v>93.07797697068537</c:v>
                </c:pt>
                <c:pt idx="72">
                  <c:v>93.103028990821656</c:v>
                </c:pt>
                <c:pt idx="73">
                  <c:v>93.123559102063041</c:v>
                </c:pt>
                <c:pt idx="74">
                  <c:v>93.139625115386593</c:v>
                </c:pt>
                <c:pt idx="75">
                  <c:v>93.151281637550028</c:v>
                </c:pt>
                <c:pt idx="76">
                  <c:v>93.15858018006719</c:v>
                </c:pt>
                <c:pt idx="77">
                  <c:v>93.161569260346823</c:v>
                </c:pt>
                <c:pt idx="78">
                  <c:v>93.160294495461812</c:v>
                </c:pt>
                <c:pt idx="79">
                  <c:v>93.154798688969947</c:v>
                </c:pt>
                <c:pt idx="80">
                  <c:v>93.145121911170975</c:v>
                </c:pt>
                <c:pt idx="81">
                  <c:v>93.131301573145436</c:v>
                </c:pt>
                <c:pt idx="82">
                  <c:v>93.113372494888154</c:v>
                </c:pt>
                <c:pt idx="83">
                  <c:v>93.09136696782042</c:v>
                </c:pt>
                <c:pt idx="84">
                  <c:v>93.065314811933604</c:v>
                </c:pt>
                <c:pt idx="85">
                  <c:v>93.035243427791102</c:v>
                </c:pt>
                <c:pt idx="86">
                  <c:v>93.001177843592927</c:v>
                </c:pt>
                <c:pt idx="87">
                  <c:v>92.963140757479835</c:v>
                </c:pt>
                <c:pt idx="88">
                  <c:v>92.921152575235567</c:v>
                </c:pt>
                <c:pt idx="89">
                  <c:v>92.875231443523035</c:v>
                </c:pt>
                <c:pt idx="90">
                  <c:v>92.825393278771003</c:v>
                </c:pt>
                <c:pt idx="91">
                  <c:v>92.771651791807869</c:v>
                </c:pt>
                <c:pt idx="92">
                  <c:v>92.714018508322226</c:v>
                </c:pt>
                <c:pt idx="93">
                  <c:v>92.65250278520989</c:v>
                </c:pt>
                <c:pt idx="94">
                  <c:v>92.587111822851853</c:v>
                </c:pt>
                <c:pt idx="95">
                  <c:v>92.517850673346857</c:v>
                </c:pt>
                <c:pt idx="96">
                  <c:v>92.444722244709453</c:v>
                </c:pt>
                <c:pt idx="97">
                  <c:v>92.367727301021716</c:v>
                </c:pt>
                <c:pt idx="98">
                  <c:v>92.286864458514913</c:v>
                </c:pt>
                <c:pt idx="99">
                  <c:v>92.202130177533604</c:v>
                </c:pt>
                <c:pt idx="100">
                  <c:v>92.113518750321418</c:v>
                </c:pt>
                <c:pt idx="101">
                  <c:v>92.021022284545211</c:v>
                </c:pt>
                <c:pt idx="102">
                  <c:v>91.924630682456041</c:v>
                </c:pt>
                <c:pt idx="103">
                  <c:v>91.824331615564688</c:v>
                </c:pt>
                <c:pt idx="104">
                  <c:v>91.720110494686423</c:v>
                </c:pt>
                <c:pt idx="105">
                  <c:v>91.611950435187225</c:v>
                </c:pt>
                <c:pt idx="106">
                  <c:v>91.499832217238634</c:v>
                </c:pt>
                <c:pt idx="107">
                  <c:v>91.383734240861827</c:v>
                </c:pt>
                <c:pt idx="108">
                  <c:v>91.263632475512452</c:v>
                </c:pt>
                <c:pt idx="109">
                  <c:v>91.139500403925467</c:v>
                </c:pt>
                <c:pt idx="110">
                  <c:v>91.011308959908661</c:v>
                </c:pt>
                <c:pt idx="111">
                  <c:v>90.879026459731563</c:v>
                </c:pt>
                <c:pt idx="112">
                  <c:v>90.742618526720321</c:v>
                </c:pt>
                <c:pt idx="113">
                  <c:v>90.602048008621466</c:v>
                </c:pt>
                <c:pt idx="114">
                  <c:v>90.457274887249298</c:v>
                </c:pt>
                <c:pt idx="115">
                  <c:v>90.308256179877787</c:v>
                </c:pt>
                <c:pt idx="116">
                  <c:v>90.154945831775194</c:v>
                </c:pt>
                <c:pt idx="117">
                  <c:v>89.997294599215309</c:v>
                </c:pt>
                <c:pt idx="118">
                  <c:v>89.835249922221067</c:v>
                </c:pt>
                <c:pt idx="119">
                  <c:v>89.668755786214831</c:v>
                </c:pt>
                <c:pt idx="120">
                  <c:v>89.497752571654246</c:v>
                </c:pt>
                <c:pt idx="121">
                  <c:v>89.322176890626906</c:v>
                </c:pt>
                <c:pt idx="122">
                  <c:v>89.141961409258784</c:v>
                </c:pt>
                <c:pt idx="123">
                  <c:v>88.957034654655956</c:v>
                </c:pt>
                <c:pt idx="124">
                  <c:v>88.767320804947644</c:v>
                </c:pt>
                <c:pt idx="125">
                  <c:v>88.572739460825915</c:v>
                </c:pt>
                <c:pt idx="126">
                  <c:v>88.373205396780122</c:v>
                </c:pt>
                <c:pt idx="127">
                  <c:v>88.168628290001948</c:v>
                </c:pt>
                <c:pt idx="128">
                  <c:v>87.958912424679284</c:v>
                </c:pt>
                <c:pt idx="129">
                  <c:v>87.743956369104467</c:v>
                </c:pt>
                <c:pt idx="130">
                  <c:v>87.523652622684551</c:v>
                </c:pt>
                <c:pt idx="131">
                  <c:v>87.29788722955459</c:v>
                </c:pt>
                <c:pt idx="132">
                  <c:v>87.066539355041641</c:v>
                </c:pt>
                <c:pt idx="133">
                  <c:v>86.829480820710273</c:v>
                </c:pt>
                <c:pt idx="134">
                  <c:v>86.586575593112912</c:v>
                </c:pt>
                <c:pt idx="135">
                  <c:v>86.337679220660277</c:v>
                </c:pt>
                <c:pt idx="136">
                  <c:v>86.082638212202482</c:v>
                </c:pt>
                <c:pt idx="137">
                  <c:v>85.821289349937615</c:v>
                </c:pt>
                <c:pt idx="138">
                  <c:v>85.553458928120278</c:v>
                </c:pt>
                <c:pt idx="139">
                  <c:v>85.278961907686437</c:v>
                </c:pt>
                <c:pt idx="140">
                  <c:v>84.997600975301737</c:v>
                </c:pt>
                <c:pt idx="141">
                  <c:v>84.709165493418652</c:v>
                </c:pt>
                <c:pt idx="142">
                  <c:v>84.413430325627758</c:v>
                </c:pt>
                <c:pt idx="143">
                  <c:v>84.110154518820991</c:v>
                </c:pt>
                <c:pt idx="144">
                  <c:v>83.799079820333873</c:v>
                </c:pt>
                <c:pt idx="145">
                  <c:v>83.479929004168127</c:v>
                </c:pt>
                <c:pt idx="146">
                  <c:v>83.152403975425159</c:v>
                </c:pt>
                <c:pt idx="147">
                  <c:v>82.816183615977309</c:v>
                </c:pt>
                <c:pt idx="148">
                  <c:v>82.470921326856967</c:v>
                </c:pt>
                <c:pt idx="149">
                  <c:v>82.116242213468468</c:v>
                </c:pt>
                <c:pt idx="150">
                  <c:v>81.751739847985391</c:v>
                </c:pt>
                <c:pt idx="151">
                  <c:v>81.376972528499948</c:v>
                </c:pt>
                <c:pt idx="152">
                  <c:v>80.991458935705623</c:v>
                </c:pt>
                <c:pt idx="153">
                  <c:v>80.594673063841697</c:v>
                </c:pt>
                <c:pt idx="154">
                  <c:v>80.186038271586767</c:v>
                </c:pt>
                <c:pt idx="155">
                  <c:v>79.76492025814531</c:v>
                </c:pt>
                <c:pt idx="156">
                  <c:v>79.330618716566619</c:v>
                </c:pt>
                <c:pt idx="157">
                  <c:v>78.882357345602941</c:v>
                </c:pt>
                <c:pt idx="158">
                  <c:v>78.419271806293409</c:v>
                </c:pt>
                <c:pt idx="159">
                  <c:v>77.940395079958762</c:v>
                </c:pt>
                <c:pt idx="160">
                  <c:v>77.444639505597706</c:v>
                </c:pt>
                <c:pt idx="161">
                  <c:v>76.930774524446349</c:v>
                </c:pt>
                <c:pt idx="162">
                  <c:v>76.397398803393514</c:v>
                </c:pt>
                <c:pt idx="163">
                  <c:v>75.84290489318613</c:v>
                </c:pt>
                <c:pt idx="164">
                  <c:v>75.265433815502433</c:v>
                </c:pt>
                <c:pt idx="165">
                  <c:v>74.662815822704374</c:v>
                </c:pt>
                <c:pt idx="166">
                  <c:v>74.032491794310715</c:v>
                </c:pt>
                <c:pt idx="167">
                  <c:v>73.371406903217974</c:v>
                </c:pt>
                <c:pt idx="168">
                  <c:v>72.675863537403529</c:v>
                </c:pt>
                <c:pt idx="169">
                  <c:v>71.941312552759314</c:v>
                </c:pt>
                <c:pt idx="170">
                  <c:v>71.162047890138524</c:v>
                </c:pt>
                <c:pt idx="171">
                  <c:v>70.330743392167903</c:v>
                </c:pt>
                <c:pt idx="172">
                  <c:v>69.437718788128564</c:v>
                </c:pt>
                <c:pt idx="173">
                  <c:v>68.469711380864567</c:v>
                </c:pt>
                <c:pt idx="174">
                  <c:v>67.407672353131261</c:v>
                </c:pt>
                <c:pt idx="175">
                  <c:v>66.222429802236661</c:v>
                </c:pt>
                <c:pt idx="176">
                  <c:v>64.864967860658339</c:v>
                </c:pt>
                <c:pt idx="177">
                  <c:v>63.239822837817712</c:v>
                </c:pt>
                <c:pt idx="178">
                  <c:v>61.100303051726996</c:v>
                </c:pt>
                <c:pt idx="179">
                  <c:v>56.770207314119432</c:v>
                </c:pt>
                <c:pt idx="180">
                  <c:v>56.770207314119432</c:v>
                </c:pt>
                <c:pt idx="181">
                  <c:v>56.770207314119432</c:v>
                </c:pt>
                <c:pt idx="182">
                  <c:v>56.770207314119432</c:v>
                </c:pt>
                <c:pt idx="183">
                  <c:v>56.770207314119432</c:v>
                </c:pt>
                <c:pt idx="184">
                  <c:v>56.770207314119432</c:v>
                </c:pt>
                <c:pt idx="185">
                  <c:v>56.770207314119432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485-CE40-AA2B-8C1ADE67430D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54.811858241569382</c:v>
                </c:pt>
                <c:pt idx="1">
                  <c:v>54.811858241569382</c:v>
                </c:pt>
                <c:pt idx="2">
                  <c:v>49.48924400013783</c:v>
                </c:pt>
                <c:pt idx="3">
                  <c:v>46.57465170351071</c:v>
                </c:pt>
                <c:pt idx="4">
                  <c:v>44.42721220911443</c:v>
                </c:pt>
                <c:pt idx="5">
                  <c:v>42.667521345205898</c:v>
                </c:pt>
                <c:pt idx="6">
                  <c:v>41.155245765008203</c:v>
                </c:pt>
                <c:pt idx="7">
                  <c:v>39.81957141183176</c:v>
                </c:pt>
                <c:pt idx="8">
                  <c:v>38.618691166094322</c:v>
                </c:pt>
                <c:pt idx="9">
                  <c:v>37.525404674163951</c:v>
                </c:pt>
                <c:pt idx="10">
                  <c:v>36.520795954897267</c:v>
                </c:pt>
                <c:pt idx="11">
                  <c:v>35.591053907651883</c:v>
                </c:pt>
                <c:pt idx="12">
                  <c:v>34.725712490046988</c:v>
                </c:pt>
                <c:pt idx="13">
                  <c:v>33.916604204086582</c:v>
                </c:pt>
                <c:pt idx="14">
                  <c:v>33.157201967622598</c:v>
                </c:pt>
                <c:pt idx="15">
                  <c:v>32.442186220143469</c:v>
                </c:pt>
                <c:pt idx="16">
                  <c:v>31.767149473326867</c:v>
                </c:pt>
                <c:pt idx="17">
                  <c:v>31.128388338780496</c:v>
                </c:pt>
                <c:pt idx="18">
                  <c:v>30.522753236051472</c:v>
                </c:pt>
                <c:pt idx="19">
                  <c:v>29.9475372993669</c:v>
                </c:pt>
                <c:pt idx="20">
                  <c:v>29.400392627249175</c:v>
                </c:pt>
                <c:pt idx="21">
                  <c:v>28.879266044263204</c:v>
                </c:pt>
                <c:pt idx="22">
                  <c:v>28.382349068890278</c:v>
                </c:pt>
                <c:pt idx="23">
                  <c:v>27.908038410224151</c:v>
                </c:pt>
                <c:pt idx="24">
                  <c:v>27.454904393278127</c:v>
                </c:pt>
                <c:pt idx="25">
                  <c:v>27.021665440950756</c:v>
                </c:pt>
                <c:pt idx="26">
                  <c:v>26.607167242967932</c:v>
                </c:pt>
                <c:pt idx="27">
                  <c:v>26.210365594812515</c:v>
                </c:pt>
                <c:pt idx="28">
                  <c:v>25.830312141366221</c:v>
                </c:pt>
                <c:pt idx="29">
                  <c:v>25.466142442323644</c:v>
                </c:pt>
                <c:pt idx="30">
                  <c:v>25.11706591032555</c:v>
                </c:pt>
                <c:pt idx="31">
                  <c:v>24.782357272299976</c:v>
                </c:pt>
                <c:pt idx="32">
                  <c:v>24.461349279369131</c:v>
                </c:pt>
                <c:pt idx="33">
                  <c:v>24.153426447591812</c:v>
                </c:pt>
                <c:pt idx="34">
                  <c:v>23.858019655504052</c:v>
                </c:pt>
                <c:pt idx="35">
                  <c:v>23.574601458273094</c:v>
                </c:pt>
                <c:pt idx="36">
                  <c:v>23.302682004737619</c:v>
                </c:pt>
                <c:pt idx="37">
                  <c:v>23.041805464447521</c:v>
                </c:pt>
                <c:pt idx="38">
                  <c:v>22.791546888362404</c:v>
                </c:pt>
                <c:pt idx="39">
                  <c:v>22.551509440088068</c:v>
                </c:pt>
                <c:pt idx="40">
                  <c:v>22.321321945176351</c:v>
                </c:pt>
                <c:pt idx="41">
                  <c:v>22.100636714627626</c:v>
                </c:pt>
                <c:pt idx="42">
                  <c:v>21.889127605755732</c:v>
                </c:pt>
                <c:pt idx="43">
                  <c:v>21.686488289325666</c:v>
                </c:pt>
                <c:pt idx="44">
                  <c:v>21.492430696608551</c:v>
                </c:pt>
                <c:pt idx="45">
                  <c:v>21.30668362391782</c:v>
                </c:pt>
                <c:pt idx="46">
                  <c:v>21.128991475449766</c:v>
                </c:pt>
                <c:pt idx="47">
                  <c:v>20.95911312797648</c:v>
                </c:pt>
                <c:pt idx="48">
                  <c:v>20.796820903219611</c:v>
                </c:pt>
                <c:pt idx="49">
                  <c:v>20.641899635663776</c:v>
                </c:pt>
                <c:pt idx="50">
                  <c:v>20.494145825192675</c:v>
                </c:pt>
                <c:pt idx="51">
                  <c:v>20.353366865315593</c:v>
                </c:pt>
                <c:pt idx="52">
                  <c:v>20.219380338929511</c:v>
                </c:pt>
                <c:pt idx="53">
                  <c:v>20.092013374570513</c:v>
                </c:pt>
                <c:pt idx="54">
                  <c:v>19.971102056971404</c:v>
                </c:pt>
                <c:pt idx="55">
                  <c:v>19.85649088648637</c:v>
                </c:pt>
                <c:pt idx="56">
                  <c:v>19.748032282589008</c:v>
                </c:pt>
                <c:pt idx="57">
                  <c:v>19.645586127200318</c:v>
                </c:pt>
                <c:pt idx="58">
                  <c:v>19.549019344093551</c:v>
                </c:pt>
                <c:pt idx="59">
                  <c:v>19.458205511036908</c:v>
                </c:pt>
                <c:pt idx="60">
                  <c:v>19.373024501707505</c:v>
                </c:pt>
                <c:pt idx="61">
                  <c:v>19.293362154727276</c:v>
                </c:pt>
                <c:pt idx="62">
                  <c:v>19.219109967457825</c:v>
                </c:pt>
                <c:pt idx="63">
                  <c:v>19.150164812434582</c:v>
                </c:pt>
                <c:pt idx="64">
                  <c:v>19.086428674545346</c:v>
                </c:pt>
                <c:pt idx="65">
                  <c:v>19.027808407245288</c:v>
                </c:pt>
                <c:pt idx="66">
                  <c:v>18.97421550627746</c:v>
                </c:pt>
                <c:pt idx="67">
                  <c:v>18.925565899516641</c:v>
                </c:pt>
                <c:pt idx="68">
                  <c:v>18.881779751689862</c:v>
                </c:pt>
                <c:pt idx="69">
                  <c:v>18.842781282850012</c:v>
                </c:pt>
                <c:pt idx="70">
                  <c:v>18.808498599583743</c:v>
                </c:pt>
                <c:pt idx="71">
                  <c:v>18.778863538033079</c:v>
                </c:pt>
                <c:pt idx="72">
                  <c:v>18.75381151789685</c:v>
                </c:pt>
                <c:pt idx="73">
                  <c:v>18.733281406655408</c:v>
                </c:pt>
                <c:pt idx="74">
                  <c:v>18.717215393331855</c:v>
                </c:pt>
                <c:pt idx="75">
                  <c:v>18.705558871168421</c:v>
                </c:pt>
                <c:pt idx="76">
                  <c:v>18.698260328651315</c:v>
                </c:pt>
                <c:pt idx="77">
                  <c:v>18.695271248371625</c:v>
                </c:pt>
                <c:pt idx="78">
                  <c:v>18.696546013256636</c:v>
                </c:pt>
                <c:pt idx="79">
                  <c:v>18.702041819748558</c:v>
                </c:pt>
                <c:pt idx="80">
                  <c:v>18.711718597547474</c:v>
                </c:pt>
                <c:pt idx="81">
                  <c:v>18.725538935573013</c:v>
                </c:pt>
                <c:pt idx="82">
                  <c:v>18.743468013830295</c:v>
                </c:pt>
                <c:pt idx="83">
                  <c:v>18.765473540898029</c:v>
                </c:pt>
                <c:pt idx="84">
                  <c:v>18.791525696784902</c:v>
                </c:pt>
                <c:pt idx="85">
                  <c:v>18.821597080927404</c:v>
                </c:pt>
                <c:pt idx="86">
                  <c:v>18.855662665125521</c:v>
                </c:pt>
                <c:pt idx="87">
                  <c:v>18.893699751238614</c:v>
                </c:pt>
                <c:pt idx="88">
                  <c:v>18.935687933482882</c:v>
                </c:pt>
                <c:pt idx="89">
                  <c:v>18.981609065195414</c:v>
                </c:pt>
                <c:pt idx="90">
                  <c:v>19.031447229947446</c:v>
                </c:pt>
                <c:pt idx="91">
                  <c:v>19.085188716910579</c:v>
                </c:pt>
                <c:pt idx="92">
                  <c:v>19.142822000396279</c:v>
                </c:pt>
                <c:pt idx="93">
                  <c:v>19.204337723508559</c:v>
                </c:pt>
                <c:pt idx="94">
                  <c:v>19.269728685866596</c:v>
                </c:pt>
                <c:pt idx="95">
                  <c:v>19.338989835371592</c:v>
                </c:pt>
                <c:pt idx="96">
                  <c:v>19.412118264009052</c:v>
                </c:pt>
                <c:pt idx="97">
                  <c:v>19.489113207696789</c:v>
                </c:pt>
                <c:pt idx="98">
                  <c:v>19.569976050203593</c:v>
                </c:pt>
                <c:pt idx="99">
                  <c:v>19.654710331184845</c:v>
                </c:pt>
                <c:pt idx="100">
                  <c:v>19.74332175839703</c:v>
                </c:pt>
                <c:pt idx="101">
                  <c:v>19.835818224173295</c:v>
                </c:pt>
                <c:pt idx="102">
                  <c:v>19.932209826262465</c:v>
                </c:pt>
                <c:pt idx="103">
                  <c:v>20.032508893153761</c:v>
                </c:pt>
                <c:pt idx="104">
                  <c:v>20.136730014032025</c:v>
                </c:pt>
                <c:pt idx="105">
                  <c:v>20.244890073531224</c:v>
                </c:pt>
                <c:pt idx="106">
                  <c:v>20.357008291479872</c:v>
                </c:pt>
                <c:pt idx="107">
                  <c:v>20.473106267856622</c:v>
                </c:pt>
                <c:pt idx="108">
                  <c:v>20.593208033205997</c:v>
                </c:pt>
                <c:pt idx="109">
                  <c:v>20.717340104793038</c:v>
                </c:pt>
                <c:pt idx="110">
                  <c:v>20.845531548809788</c:v>
                </c:pt>
                <c:pt idx="111">
                  <c:v>20.977814048986886</c:v>
                </c:pt>
                <c:pt idx="112">
                  <c:v>21.114221981998128</c:v>
                </c:pt>
                <c:pt idx="113">
                  <c:v>21.254792500096983</c:v>
                </c:pt>
                <c:pt idx="114">
                  <c:v>21.399565621469151</c:v>
                </c:pt>
                <c:pt idx="115">
                  <c:v>21.548584328840661</c:v>
                </c:pt>
                <c:pt idx="116">
                  <c:v>21.701894676943311</c:v>
                </c:pt>
                <c:pt idx="117">
                  <c:v>21.85954590950314</c:v>
                </c:pt>
                <c:pt idx="118">
                  <c:v>22.021590586497382</c:v>
                </c:pt>
                <c:pt idx="119">
                  <c:v>22.188084722503618</c:v>
                </c:pt>
                <c:pt idx="120">
                  <c:v>22.359087937064203</c:v>
                </c:pt>
                <c:pt idx="121">
                  <c:v>22.534663618091543</c:v>
                </c:pt>
                <c:pt idx="122">
                  <c:v>22.714879099459722</c:v>
                </c:pt>
                <c:pt idx="123">
                  <c:v>22.899805854062492</c:v>
                </c:pt>
                <c:pt idx="124">
                  <c:v>23.089519703770804</c:v>
                </c:pt>
                <c:pt idx="125">
                  <c:v>23.284101047892534</c:v>
                </c:pt>
                <c:pt idx="126">
                  <c:v>23.483635111938327</c:v>
                </c:pt>
                <c:pt idx="127">
                  <c:v>23.688212218716501</c:v>
                </c:pt>
                <c:pt idx="128">
                  <c:v>23.897928084039222</c:v>
                </c:pt>
                <c:pt idx="129">
                  <c:v>24.112884139614039</c:v>
                </c:pt>
                <c:pt idx="130">
                  <c:v>24.333187886033897</c:v>
                </c:pt>
                <c:pt idx="131">
                  <c:v>24.558953279163859</c:v>
                </c:pt>
                <c:pt idx="132">
                  <c:v>24.790301153676864</c:v>
                </c:pt>
                <c:pt idx="133">
                  <c:v>25.027359688008232</c:v>
                </c:pt>
                <c:pt idx="134">
                  <c:v>25.270264915605537</c:v>
                </c:pt>
                <c:pt idx="135">
                  <c:v>25.519161288058172</c:v>
                </c:pt>
                <c:pt idx="136">
                  <c:v>25.774202296515966</c:v>
                </c:pt>
                <c:pt idx="137">
                  <c:v>26.035551158780891</c:v>
                </c:pt>
                <c:pt idx="138">
                  <c:v>26.303381580598227</c:v>
                </c:pt>
                <c:pt idx="139">
                  <c:v>26.577878601032069</c:v>
                </c:pt>
                <c:pt idx="140">
                  <c:v>26.859239533416712</c:v>
                </c:pt>
                <c:pt idx="141">
                  <c:v>27.147675015299853</c:v>
                </c:pt>
                <c:pt idx="142">
                  <c:v>27.443410183090691</c:v>
                </c:pt>
                <c:pt idx="143">
                  <c:v>27.746685989897458</c:v>
                </c:pt>
                <c:pt idx="144">
                  <c:v>28.057760688384576</c:v>
                </c:pt>
                <c:pt idx="145">
                  <c:v>28.376911504550378</c:v>
                </c:pt>
                <c:pt idx="146">
                  <c:v>28.70443653329329</c:v>
                </c:pt>
                <c:pt idx="147">
                  <c:v>29.04065689274114</c:v>
                </c:pt>
                <c:pt idx="148">
                  <c:v>29.385919181861482</c:v>
                </c:pt>
                <c:pt idx="149">
                  <c:v>29.740598295249981</c:v>
                </c:pt>
                <c:pt idx="150">
                  <c:v>30.105100660733058</c:v>
                </c:pt>
                <c:pt idx="151">
                  <c:v>30.479867980218501</c:v>
                </c:pt>
                <c:pt idx="152">
                  <c:v>30.865381573012826</c:v>
                </c:pt>
                <c:pt idx="153">
                  <c:v>31.262167444876809</c:v>
                </c:pt>
                <c:pt idx="154">
                  <c:v>31.670802237131682</c:v>
                </c:pt>
                <c:pt idx="155">
                  <c:v>32.091920250573139</c:v>
                </c:pt>
                <c:pt idx="156">
                  <c:v>32.52622179215183</c:v>
                </c:pt>
                <c:pt idx="157">
                  <c:v>32.974483163115508</c:v>
                </c:pt>
                <c:pt idx="158">
                  <c:v>33.43756870242504</c:v>
                </c:pt>
                <c:pt idx="159">
                  <c:v>33.916445428759687</c:v>
                </c:pt>
                <c:pt idx="160">
                  <c:v>34.412201003120799</c:v>
                </c:pt>
                <c:pt idx="161">
                  <c:v>34.9260659842721</c:v>
                </c:pt>
                <c:pt idx="162">
                  <c:v>35.459441705324934</c:v>
                </c:pt>
                <c:pt idx="163">
                  <c:v>36.013935615532375</c:v>
                </c:pt>
                <c:pt idx="164">
                  <c:v>36.591406693216015</c:v>
                </c:pt>
                <c:pt idx="165">
                  <c:v>37.194024686014131</c:v>
                </c:pt>
                <c:pt idx="166">
                  <c:v>37.82434871440779</c:v>
                </c:pt>
                <c:pt idx="167">
                  <c:v>38.485433605500475</c:v>
                </c:pt>
                <c:pt idx="168">
                  <c:v>39.180976971314919</c:v>
                </c:pt>
                <c:pt idx="169">
                  <c:v>39.915527955959135</c:v>
                </c:pt>
                <c:pt idx="170">
                  <c:v>40.694792618579982</c:v>
                </c:pt>
                <c:pt idx="171">
                  <c:v>41.526097116550545</c:v>
                </c:pt>
                <c:pt idx="172">
                  <c:v>42.419121720589885</c:v>
                </c:pt>
                <c:pt idx="173">
                  <c:v>43.387129127853882</c:v>
                </c:pt>
                <c:pt idx="174">
                  <c:v>44.449168155587188</c:v>
                </c:pt>
                <c:pt idx="175">
                  <c:v>45.634410706481788</c:v>
                </c:pt>
                <c:pt idx="176">
                  <c:v>46.991872648060109</c:v>
                </c:pt>
                <c:pt idx="177">
                  <c:v>48.617017670900736</c:v>
                </c:pt>
                <c:pt idx="178">
                  <c:v>50.756537456991509</c:v>
                </c:pt>
                <c:pt idx="179">
                  <c:v>55.086633194599017</c:v>
                </c:pt>
                <c:pt idx="180">
                  <c:v>55.086633194599017</c:v>
                </c:pt>
                <c:pt idx="181">
                  <c:v>55.086633194599017</c:v>
                </c:pt>
                <c:pt idx="182">
                  <c:v>55.086633194599017</c:v>
                </c:pt>
                <c:pt idx="183">
                  <c:v>55.086633194599017</c:v>
                </c:pt>
                <c:pt idx="184">
                  <c:v>55.086633194599017</c:v>
                </c:pt>
                <c:pt idx="185">
                  <c:v>55.086633194599017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485-CE40-AA2B-8C1ADE67430D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11.048360052950954</c:v>
                </c:pt>
                <c:pt idx="50">
                  <c:v>14.614735262417923</c:v>
                </c:pt>
                <c:pt idx="51">
                  <c:v>16.216941510516619</c:v>
                </c:pt>
                <c:pt idx="52">
                  <c:v>17.416619006333121</c:v>
                </c:pt>
                <c:pt idx="53">
                  <c:v>18.401946811652635</c:v>
                </c:pt>
                <c:pt idx="54">
                  <c:v>19.246870857566364</c:v>
                </c:pt>
                <c:pt idx="55">
                  <c:v>19.989732155718286</c:v>
                </c:pt>
                <c:pt idx="56">
                  <c:v>20.653526446203387</c:v>
                </c:pt>
                <c:pt idx="57">
                  <c:v>21.253369017895182</c:v>
                </c:pt>
                <c:pt idx="58">
                  <c:v>21.799845321534747</c:v>
                </c:pt>
                <c:pt idx="59">
                  <c:v>22.300721815599104</c:v>
                </c:pt>
                <c:pt idx="60">
                  <c:v>22.761903587480958</c:v>
                </c:pt>
                <c:pt idx="61">
                  <c:v>23.188008762401751</c:v>
                </c:pt>
                <c:pt idx="62">
                  <c:v>23.582732220282253</c:v>
                </c:pt>
                <c:pt idx="63">
                  <c:v>23.94908616792361</c:v>
                </c:pt>
                <c:pt idx="64">
                  <c:v>24.289565078652515</c:v>
                </c:pt>
                <c:pt idx="65">
                  <c:v>24.606262233671373</c:v>
                </c:pt>
                <c:pt idx="66">
                  <c:v>24.900954202331377</c:v>
                </c:pt>
                <c:pt idx="67">
                  <c:v>25.175163446010629</c:v>
                </c:pt>
                <c:pt idx="68">
                  <c:v>25.430205607697303</c:v>
                </c:pt>
                <c:pt idx="69">
                  <c:v>25.667225838055629</c:v>
                </c:pt>
                <c:pt idx="70">
                  <c:v>25.887227115828807</c:v>
                </c:pt>
                <c:pt idx="71">
                  <c:v>26.091092618483458</c:v>
                </c:pt>
                <c:pt idx="72">
                  <c:v>26.279603600508551</c:v>
                </c:pt>
                <c:pt idx="73">
                  <c:v>26.453453830886758</c:v>
                </c:pt>
                <c:pt idx="74">
                  <c:v>26.613261360522699</c:v>
                </c:pt>
                <c:pt idx="75">
                  <c:v>26.759578192770277</c:v>
                </c:pt>
                <c:pt idx="76">
                  <c:v>26.892898288789638</c:v>
                </c:pt>
                <c:pt idx="77">
                  <c:v>27.013664236776265</c:v>
                </c:pt>
                <c:pt idx="78">
                  <c:v>27.122272838514618</c:v>
                </c:pt>
                <c:pt idx="79">
                  <c:v>27.219079810357812</c:v>
                </c:pt>
                <c:pt idx="80">
                  <c:v>27.304403753219844</c:v>
                </c:pt>
                <c:pt idx="81">
                  <c:v>27.378529513738158</c:v>
                </c:pt>
                <c:pt idx="82">
                  <c:v>27.441711033750209</c:v>
                </c:pt>
                <c:pt idx="83">
                  <c:v>27.494173765738708</c:v>
                </c:pt>
                <c:pt idx="84">
                  <c:v>27.536116716543404</c:v>
                </c:pt>
                <c:pt idx="85">
                  <c:v>27.567714169418082</c:v>
                </c:pt>
                <c:pt idx="86">
                  <c:v>27.58911712466022</c:v>
                </c:pt>
                <c:pt idx="87">
                  <c:v>27.600454491008691</c:v>
                </c:pt>
                <c:pt idx="88">
                  <c:v>27.601834053352547</c:v>
                </c:pt>
                <c:pt idx="89">
                  <c:v>27.593343236694182</c:v>
                </c:pt>
                <c:pt idx="90">
                  <c:v>27.575049681495727</c:v>
                </c:pt>
                <c:pt idx="91">
                  <c:v>27.547001641303609</c:v>
                </c:pt>
                <c:pt idx="92">
                  <c:v>27.509228209709136</c:v>
                </c:pt>
                <c:pt idx="93">
                  <c:v>27.46173938011998</c:v>
                </c:pt>
                <c:pt idx="94">
                  <c:v>27.404525938341578</c:v>
                </c:pt>
                <c:pt idx="95">
                  <c:v>27.337559184478778</c:v>
                </c:pt>
                <c:pt idx="96">
                  <c:v>27.260790477020407</c:v>
                </c:pt>
                <c:pt idx="97">
                  <c:v>27.174150588033115</c:v>
                </c:pt>
                <c:pt idx="98">
                  <c:v>27.077548853996518</c:v>
                </c:pt>
                <c:pt idx="99">
                  <c:v>26.970872101769487</c:v>
                </c:pt>
                <c:pt idx="100">
                  <c:v>26.853983323258376</c:v>
                </c:pt>
                <c:pt idx="101">
                  <c:v>26.726720065261816</c:v>
                </c:pt>
                <c:pt idx="102">
                  <c:v>26.588892492323737</c:v>
                </c:pt>
                <c:pt idx="103">
                  <c:v>26.440281069735192</c:v>
                </c:pt>
                <c:pt idx="104">
                  <c:v>26.28063380043784</c:v>
                </c:pt>
                <c:pt idx="105">
                  <c:v>26.109662932609751</c:v>
                </c:pt>
                <c:pt idx="106">
                  <c:v>25.927041032964155</c:v>
                </c:pt>
                <c:pt idx="107">
                  <c:v>25.732396292596491</c:v>
                </c:pt>
                <c:pt idx="108">
                  <c:v>25.52530689527299</c:v>
                </c:pt>
                <c:pt idx="109">
                  <c:v>25.305294229078356</c:v>
                </c:pt>
                <c:pt idx="110">
                  <c:v>25.0718146566428</c:v>
                </c:pt>
                <c:pt idx="111">
                  <c:v>24.824249469894937</c:v>
                </c:pt>
                <c:pt idx="112">
                  <c:v>24.561892532326681</c:v>
                </c:pt>
                <c:pt idx="113">
                  <c:v>24.283934939838275</c:v>
                </c:pt>
                <c:pt idx="114">
                  <c:v>23.989445786997919</c:v>
                </c:pt>
                <c:pt idx="115">
                  <c:v>23.677347772322321</c:v>
                </c:pt>
                <c:pt idx="116">
                  <c:v>23.346385855267044</c:v>
                </c:pt>
                <c:pt idx="117">
                  <c:v>22.995086392455676</c:v>
                </c:pt>
                <c:pt idx="118">
                  <c:v>22.621702968045895</c:v>
                </c:pt>
                <c:pt idx="119">
                  <c:v>22.224143208066153</c:v>
                </c:pt>
                <c:pt idx="120">
                  <c:v>21.799867715350217</c:v>
                </c:pt>
                <c:pt idx="121">
                  <c:v>21.345746907766397</c:v>
                </c:pt>
                <c:pt idx="122">
                  <c:v>20.857852064027668</c:v>
                </c:pt>
                <c:pt idx="123">
                  <c:v>20.331139254933646</c:v>
                </c:pt>
                <c:pt idx="124">
                  <c:v>19.758950070596086</c:v>
                </c:pt>
                <c:pt idx="125">
                  <c:v>19.132179361514943</c:v>
                </c:pt>
                <c:pt idx="126">
                  <c:v>18.437789263774675</c:v>
                </c:pt>
                <c:pt idx="127">
                  <c:v>17.655902913796183</c:v>
                </c:pt>
                <c:pt idx="128">
                  <c:v>16.753346358783347</c:v>
                </c:pt>
                <c:pt idx="129">
                  <c:v>15.666209781569421</c:v>
                </c:pt>
                <c:pt idx="130">
                  <c:v>14.232960682103226</c:v>
                </c:pt>
                <c:pt idx="131">
                  <c:v>11.298829668175415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485-CE40-AA2B-8C1ADE67430D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10.126700027215406</c:v>
                </c:pt>
                <c:pt idx="50">
                  <c:v>6.5603248177484375</c:v>
                </c:pt>
                <c:pt idx="51">
                  <c:v>4.9581185696497414</c:v>
                </c:pt>
                <c:pt idx="52">
                  <c:v>3.7584410738332394</c:v>
                </c:pt>
                <c:pt idx="53">
                  <c:v>2.7731132685137254</c:v>
                </c:pt>
                <c:pt idx="54">
                  <c:v>1.9281892225999968</c:v>
                </c:pt>
                <c:pt idx="55">
                  <c:v>1.1853279244481314</c:v>
                </c:pt>
                <c:pt idx="56">
                  <c:v>0.52153363396297436</c:v>
                </c:pt>
                <c:pt idx="57">
                  <c:v>-7.8308937728820638E-2</c:v>
                </c:pt>
                <c:pt idx="58">
                  <c:v>-0.62478524136832903</c:v>
                </c:pt>
                <c:pt idx="59">
                  <c:v>-1.1256617354327432</c:v>
                </c:pt>
                <c:pt idx="60">
                  <c:v>-1.5868435073145406</c:v>
                </c:pt>
                <c:pt idx="61">
                  <c:v>-2.0129486822353897</c:v>
                </c:pt>
                <c:pt idx="62">
                  <c:v>-2.4076721401158352</c:v>
                </c:pt>
                <c:pt idx="63">
                  <c:v>-2.7740260877572496</c:v>
                </c:pt>
                <c:pt idx="64">
                  <c:v>-3.1145049984861544</c:v>
                </c:pt>
                <c:pt idx="65">
                  <c:v>-3.4312021535049553</c:v>
                </c:pt>
                <c:pt idx="66">
                  <c:v>-3.7258941221650161</c:v>
                </c:pt>
                <c:pt idx="67">
                  <c:v>-4.000103365844268</c:v>
                </c:pt>
                <c:pt idx="68">
                  <c:v>-4.2551455275309422</c:v>
                </c:pt>
                <c:pt idx="69">
                  <c:v>-4.4921657578892678</c:v>
                </c:pt>
                <c:pt idx="70">
                  <c:v>-4.7121670356624463</c:v>
                </c:pt>
                <c:pt idx="71">
                  <c:v>-4.9160325383170402</c:v>
                </c:pt>
                <c:pt idx="72">
                  <c:v>-5.1045435203421903</c:v>
                </c:pt>
                <c:pt idx="73">
                  <c:v>-5.2783937507203973</c:v>
                </c:pt>
                <c:pt idx="74">
                  <c:v>-5.4382012803563384</c:v>
                </c:pt>
                <c:pt idx="75">
                  <c:v>-5.5845181126039165</c:v>
                </c:pt>
                <c:pt idx="76">
                  <c:v>-5.7178382086232773</c:v>
                </c:pt>
                <c:pt idx="77">
                  <c:v>-5.838604156609847</c:v>
                </c:pt>
                <c:pt idx="78">
                  <c:v>-5.9472127583482575</c:v>
                </c:pt>
                <c:pt idx="79">
                  <c:v>-6.0440197301914509</c:v>
                </c:pt>
                <c:pt idx="80">
                  <c:v>-6.1293436730534836</c:v>
                </c:pt>
                <c:pt idx="81">
                  <c:v>-6.2034694335717404</c:v>
                </c:pt>
                <c:pt idx="82">
                  <c:v>-6.2666509535838486</c:v>
                </c:pt>
                <c:pt idx="83">
                  <c:v>-6.3191136855722903</c:v>
                </c:pt>
                <c:pt idx="84">
                  <c:v>-6.3610566363770431</c:v>
                </c:pt>
                <c:pt idx="85">
                  <c:v>-6.3926540892516641</c:v>
                </c:pt>
                <c:pt idx="86">
                  <c:v>-6.4140570444938589</c:v>
                </c:pt>
                <c:pt idx="87">
                  <c:v>-6.4253944108422729</c:v>
                </c:pt>
                <c:pt idx="88">
                  <c:v>-6.4267739731861866</c:v>
                </c:pt>
                <c:pt idx="89">
                  <c:v>-6.4182831565277638</c:v>
                </c:pt>
                <c:pt idx="90">
                  <c:v>-6.3999896013293665</c:v>
                </c:pt>
                <c:pt idx="91">
                  <c:v>-6.3719415611372483</c:v>
                </c:pt>
                <c:pt idx="92">
                  <c:v>-6.3341681295427748</c:v>
                </c:pt>
                <c:pt idx="93">
                  <c:v>-6.2866792999535619</c:v>
                </c:pt>
                <c:pt idx="94">
                  <c:v>-6.2294658581752174</c:v>
                </c:pt>
                <c:pt idx="95">
                  <c:v>-6.16249910431236</c:v>
                </c:pt>
                <c:pt idx="96">
                  <c:v>-6.0857303968540464</c:v>
                </c:pt>
                <c:pt idx="97">
                  <c:v>-5.9990905078667538</c:v>
                </c:pt>
                <c:pt idx="98">
                  <c:v>-5.9024887738301004</c:v>
                </c:pt>
                <c:pt idx="99">
                  <c:v>-5.7958120216031261</c:v>
                </c:pt>
                <c:pt idx="100">
                  <c:v>-5.6789232430919583</c:v>
                </c:pt>
                <c:pt idx="101">
                  <c:v>-5.551659985095398</c:v>
                </c:pt>
                <c:pt idx="102">
                  <c:v>-5.413832412157376</c:v>
                </c:pt>
                <c:pt idx="103">
                  <c:v>-5.2652209895688316</c:v>
                </c:pt>
                <c:pt idx="104">
                  <c:v>-5.1055737202714795</c:v>
                </c:pt>
                <c:pt idx="105">
                  <c:v>-4.9346028524433905</c:v>
                </c:pt>
                <c:pt idx="106">
                  <c:v>-4.7519809527977372</c:v>
                </c:pt>
                <c:pt idx="107">
                  <c:v>-4.5573362124300729</c:v>
                </c:pt>
                <c:pt idx="108">
                  <c:v>-4.3502468151065727</c:v>
                </c:pt>
                <c:pt idx="109">
                  <c:v>-4.1302341489119954</c:v>
                </c:pt>
                <c:pt idx="110">
                  <c:v>-3.8967545764763827</c:v>
                </c:pt>
                <c:pt idx="111">
                  <c:v>-3.6491893897285195</c:v>
                </c:pt>
                <c:pt idx="112">
                  <c:v>-3.3868324521603199</c:v>
                </c:pt>
                <c:pt idx="113">
                  <c:v>-3.1088748596719142</c:v>
                </c:pt>
                <c:pt idx="114">
                  <c:v>-2.8143857068315583</c:v>
                </c:pt>
                <c:pt idx="115">
                  <c:v>-2.5022876921559032</c:v>
                </c:pt>
                <c:pt idx="116">
                  <c:v>-2.1713257751006836</c:v>
                </c:pt>
                <c:pt idx="117">
                  <c:v>-1.8200263122893148</c:v>
                </c:pt>
                <c:pt idx="118">
                  <c:v>-1.4466428878795341</c:v>
                </c:pt>
                <c:pt idx="119">
                  <c:v>-1.0490831278997916</c:v>
                </c:pt>
                <c:pt idx="120">
                  <c:v>-0.62480763518385629</c:v>
                </c:pt>
                <c:pt idx="121">
                  <c:v>-0.17068682760003639</c:v>
                </c:pt>
                <c:pt idx="122">
                  <c:v>0.31720801613874983</c:v>
                </c:pt>
                <c:pt idx="123">
                  <c:v>0.84392082523277168</c:v>
                </c:pt>
                <c:pt idx="124">
                  <c:v>1.4161100095703318</c:v>
                </c:pt>
                <c:pt idx="125">
                  <c:v>2.0428807186514177</c:v>
                </c:pt>
                <c:pt idx="126">
                  <c:v>2.7372708163917423</c:v>
                </c:pt>
                <c:pt idx="127">
                  <c:v>3.5191571663702348</c:v>
                </c:pt>
                <c:pt idx="128">
                  <c:v>4.4217137213830711</c:v>
                </c:pt>
                <c:pt idx="129">
                  <c:v>5.5088502985969967</c:v>
                </c:pt>
                <c:pt idx="130">
                  <c:v>6.942099398063192</c:v>
                </c:pt>
                <c:pt idx="131">
                  <c:v>9.8762304119909459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5485-CE40-AA2B-8C1ADE67430D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5485-CE40-AA2B-8C1ADE67430D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5485-CE40-AA2B-8C1ADE6743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19.572669225930063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  <c:pt idx="186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5485-CE40-AA2B-8C1ADE67430D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5485-CE40-AA2B-8C1ADE67430D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5485-CE40-AA2B-8C1ADE67430D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55.928420254359253</c:v>
                </c:pt>
                <c:pt idx="188" formatCode="0.00_ ;[Red]\-0.00\ ">
                  <c:v>10.587530040083209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  <c:pt idx="186">
                  <c:v>35.79416151671569</c:v>
                </c:pt>
                <c:pt idx="187" formatCode="0.00_ ;[Red]\-0.00\ ">
                  <c:v>22.136615128476091</c:v>
                </c:pt>
                <c:pt idx="188" formatCode="0.00_ ;[Red]\-0.00\ ">
                  <c:v>22.153147871075191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5485-CE40-AA2B-8C1ADE6743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rgbClr val="C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Standortgrafik!$O$15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Standortgrafik!$O$16:$O$58</c:f>
              <c:numCache>
                <c:formatCode>0.00</c:formatCode>
                <c:ptCount val="43"/>
                <c:pt idx="0">
                  <c:v>20.006263345753496</c:v>
                </c:pt>
                <c:pt idx="1">
                  <c:v>20.002365994571221</c:v>
                </c:pt>
                <c:pt idx="2">
                  <c:v>19.998475386024666</c:v>
                </c:pt>
                <c:pt idx="3">
                  <c:v>19.994591514793456</c:v>
                </c:pt>
                <c:pt idx="4">
                  <c:v>19.990714375566256</c:v>
                </c:pt>
                <c:pt idx="5">
                  <c:v>19.986843963040769</c:v>
                </c:pt>
                <c:pt idx="6">
                  <c:v>19.982980271923566</c:v>
                </c:pt>
                <c:pt idx="7">
                  <c:v>19.979123296930595</c:v>
                </c:pt>
                <c:pt idx="8">
                  <c:v>19.975273032786447</c:v>
                </c:pt>
                <c:pt idx="9">
                  <c:v>19.971429474224919</c:v>
                </c:pt>
                <c:pt idx="10">
                  <c:v>19.967592615988735</c:v>
                </c:pt>
                <c:pt idx="11">
                  <c:v>19.963762452829485</c:v>
                </c:pt>
                <c:pt idx="12">
                  <c:v>19.959938979507854</c:v>
                </c:pt>
                <c:pt idx="13">
                  <c:v>19.95612219079328</c:v>
                </c:pt>
                <c:pt idx="14">
                  <c:v>19.952312081464186</c:v>
                </c:pt>
                <c:pt idx="15">
                  <c:v>19.948508646307857</c:v>
                </c:pt>
                <c:pt idx="16">
                  <c:v>19.944711880120451</c:v>
                </c:pt>
                <c:pt idx="17">
                  <c:v>19.940921777707047</c:v>
                </c:pt>
                <c:pt idx="18">
                  <c:v>19.937138333881308</c:v>
                </c:pt>
                <c:pt idx="19">
                  <c:v>19.933361543465992</c:v>
                </c:pt>
                <c:pt idx="20">
                  <c:v>19.929591401292555</c:v>
                </c:pt>
                <c:pt idx="21">
                  <c:v>19.925827902201149</c:v>
                </c:pt>
                <c:pt idx="22">
                  <c:v>19.922071041040795</c:v>
                </c:pt>
                <c:pt idx="23">
                  <c:v>19.918320812669208</c:v>
                </c:pt>
                <c:pt idx="24">
                  <c:v>19.91457721195286</c:v>
                </c:pt>
                <c:pt idx="25">
                  <c:v>19.910840233766919</c:v>
                </c:pt>
                <c:pt idx="26">
                  <c:v>19.907109872995193</c:v>
                </c:pt>
                <c:pt idx="27">
                  <c:v>19.903386124530243</c:v>
                </c:pt>
                <c:pt idx="28">
                  <c:v>19.899668983273273</c:v>
                </c:pt>
                <c:pt idx="29">
                  <c:v>19.895958444134124</c:v>
                </c:pt>
                <c:pt idx="30">
                  <c:v>19.892254502031278</c:v>
                </c:pt>
                <c:pt idx="31">
                  <c:v>19.888557151891746</c:v>
                </c:pt>
                <c:pt idx="32">
                  <c:v>19.88486638865129</c:v>
                </c:pt>
                <c:pt idx="33">
                  <c:v>19.881182207254142</c:v>
                </c:pt>
                <c:pt idx="34">
                  <c:v>19.877504602653005</c:v>
                </c:pt>
                <c:pt idx="35">
                  <c:v>19.873833569809335</c:v>
                </c:pt>
                <c:pt idx="36">
                  <c:v>19.870169103693001</c:v>
                </c:pt>
                <c:pt idx="37">
                  <c:v>19.8665111992824</c:v>
                </c:pt>
                <c:pt idx="38">
                  <c:v>19.862859851564451</c:v>
                </c:pt>
                <c:pt idx="39">
                  <c:v>19.859215055534378</c:v>
                </c:pt>
                <c:pt idx="40">
                  <c:v>19.855576806196154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4B8-BA4B-B60E-1C15A8AB85BF}"/>
            </c:ext>
          </c:extLst>
        </c:ser>
        <c:ser>
          <c:idx val="0"/>
          <c:order val="1"/>
          <c:tx>
            <c:strRef>
              <c:f>Standortgrafik!$P$15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Standortgrafik!$P$16:$P$58</c:f>
              <c:numCache>
                <c:formatCode>0.00</c:formatCode>
                <c:ptCount val="43"/>
                <c:pt idx="0">
                  <c:v>19.008500864811879</c:v>
                </c:pt>
                <c:pt idx="1">
                  <c:v>19.035195356483371</c:v>
                </c:pt>
                <c:pt idx="2">
                  <c:v>19.061774141476292</c:v>
                </c:pt>
                <c:pt idx="3">
                  <c:v>19.088238320764447</c:v>
                </c:pt>
                <c:pt idx="4">
                  <c:v>19.114588976988955</c:v>
                </c:pt>
                <c:pt idx="5">
                  <c:v>19.140827174885999</c:v>
                </c:pt>
                <c:pt idx="6">
                  <c:v>19.166953961702063</c:v>
                </c:pt>
                <c:pt idx="7">
                  <c:v>19.192970367596956</c:v>
                </c:pt>
                <c:pt idx="8">
                  <c:v>19.218877406034551</c:v>
                </c:pt>
                <c:pt idx="9">
                  <c:v>19.244676074162555</c:v>
                </c:pt>
                <c:pt idx="10">
                  <c:v>19.270367353180802</c:v>
                </c:pt>
                <c:pt idx="11">
                  <c:v>19.295952208699305</c:v>
                </c:pt>
                <c:pt idx="12">
                  <c:v>19.321431591085229</c:v>
                </c:pt>
                <c:pt idx="13">
                  <c:v>19.346806435801057</c:v>
                </c:pt>
                <c:pt idx="14">
                  <c:v>19.372077663732341</c:v>
                </c:pt>
                <c:pt idx="15">
                  <c:v>19.397246181506432</c:v>
                </c:pt>
                <c:pt idx="16">
                  <c:v>19.422312881802213</c:v>
                </c:pt>
                <c:pt idx="17">
                  <c:v>19.4472786436516</c:v>
                </c:pt>
                <c:pt idx="18">
                  <c:v>19.472144332731887</c:v>
                </c:pt>
                <c:pt idx="19">
                  <c:v>19.496910801651097</c:v>
                </c:pt>
                <c:pt idx="20">
                  <c:v>19.521578890224362</c:v>
                </c:pt>
                <c:pt idx="21">
                  <c:v>19.546149425744147</c:v>
                </c:pt>
                <c:pt idx="22">
                  <c:v>19.570623223241569</c:v>
                </c:pt>
                <c:pt idx="23">
                  <c:v>19.59500108574224</c:v>
                </c:pt>
                <c:pt idx="24">
                  <c:v>19.619283804514168</c:v>
                </c:pt>
                <c:pt idx="25">
                  <c:v>19.643472159309965</c:v>
                </c:pt>
                <c:pt idx="26">
                  <c:v>19.667566918601551</c:v>
                </c:pt>
                <c:pt idx="27">
                  <c:v>19.691568839809918</c:v>
                </c:pt>
                <c:pt idx="28">
                  <c:v>19.715478669528238</c:v>
                </c:pt>
                <c:pt idx="29">
                  <c:v>19.739297143739122</c:v>
                </c:pt>
                <c:pt idx="30">
                  <c:v>19.763024988026643</c:v>
                </c:pt>
                <c:pt idx="31">
                  <c:v>19.786662917782394</c:v>
                </c:pt>
                <c:pt idx="32">
                  <c:v>19.810211638407395</c:v>
                </c:pt>
                <c:pt idx="33">
                  <c:v>19.833671845507183</c:v>
                </c:pt>
                <c:pt idx="34">
                  <c:v>19.857044225083712</c:v>
                </c:pt>
                <c:pt idx="35">
                  <c:v>19.880329453721401</c:v>
                </c:pt>
                <c:pt idx="36">
                  <c:v>19.90352819876847</c:v>
                </c:pt>
                <c:pt idx="37">
                  <c:v>19.926641118514738</c:v>
                </c:pt>
                <c:pt idx="38">
                  <c:v>19.949668862364319</c:v>
                </c:pt>
                <c:pt idx="39">
                  <c:v>19.972612071003823</c:v>
                </c:pt>
                <c:pt idx="40">
                  <c:v>19.995471376567082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04B8-BA4B-B60E-1C15A8AB85BF}"/>
            </c:ext>
          </c:extLst>
        </c:ser>
        <c:ser>
          <c:idx val="1"/>
          <c:order val="2"/>
          <c:tx>
            <c:strRef>
              <c:f>Standortgrafik!$Q$15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Standortgrafik!$Q$16:$Q$58</c:f>
              <c:numCache>
                <c:formatCode>0.00</c:formatCode>
                <c:ptCount val="43"/>
                <c:pt idx="0">
                  <c:v>19.65525473939806</c:v>
                </c:pt>
                <c:pt idx="1">
                  <c:v>19.651445518150751</c:v>
                </c:pt>
                <c:pt idx="2">
                  <c:v>19.64764293113916</c:v>
                </c:pt>
                <c:pt idx="3">
                  <c:v>19.643846973190023</c:v>
                </c:pt>
                <c:pt idx="4">
                  <c:v>19.640057639138831</c:v>
                </c:pt>
                <c:pt idx="5">
                  <c:v>19.636274923829774</c:v>
                </c:pt>
                <c:pt idx="6">
                  <c:v>19.632498822115849</c:v>
                </c:pt>
                <c:pt idx="7">
                  <c:v>19.62872932885864</c:v>
                </c:pt>
                <c:pt idx="8">
                  <c:v>19.624966438928539</c:v>
                </c:pt>
                <c:pt idx="9">
                  <c:v>19.621210147204522</c:v>
                </c:pt>
                <c:pt idx="10">
                  <c:v>19.617460448574093</c:v>
                </c:pt>
                <c:pt idx="11">
                  <c:v>19.613717337933622</c:v>
                </c:pt>
                <c:pt idx="12">
                  <c:v>19.609980810187835</c:v>
                </c:pt>
                <c:pt idx="13">
                  <c:v>19.606250860250327</c:v>
                </c:pt>
                <c:pt idx="14">
                  <c:v>19.602527483043048</c:v>
                </c:pt>
                <c:pt idx="15">
                  <c:v>19.598810673496587</c:v>
                </c:pt>
                <c:pt idx="16">
                  <c:v>19.595100426550118</c:v>
                </c:pt>
                <c:pt idx="17">
                  <c:v>19.591396737151229</c:v>
                </c:pt>
                <c:pt idx="18">
                  <c:v>19.587699600256144</c:v>
                </c:pt>
                <c:pt idx="19">
                  <c:v>19.584009010829618</c:v>
                </c:pt>
                <c:pt idx="20">
                  <c:v>19.580324963844589</c:v>
                </c:pt>
                <c:pt idx="21">
                  <c:v>19.57664745428292</c:v>
                </c:pt>
                <c:pt idx="22">
                  <c:v>19.572976477134489</c:v>
                </c:pt>
                <c:pt idx="23">
                  <c:v>19.569312027397814</c:v>
                </c:pt>
                <c:pt idx="24">
                  <c:v>19.565654100079939</c:v>
                </c:pt>
                <c:pt idx="25">
                  <c:v>19.562002690195982</c:v>
                </c:pt>
                <c:pt idx="26">
                  <c:v>19.558357792769755</c:v>
                </c:pt>
                <c:pt idx="27">
                  <c:v>19.5547194028332</c:v>
                </c:pt>
                <c:pt idx="28">
                  <c:v>19.551087515426843</c:v>
                </c:pt>
                <c:pt idx="29">
                  <c:v>19.547462125599282</c:v>
                </c:pt>
                <c:pt idx="30">
                  <c:v>19.543843228407695</c:v>
                </c:pt>
                <c:pt idx="31">
                  <c:v>19.540230818917451</c:v>
                </c:pt>
                <c:pt idx="32">
                  <c:v>19.536624892202042</c:v>
                </c:pt>
                <c:pt idx="33">
                  <c:v>19.533025443343547</c:v>
                </c:pt>
                <c:pt idx="34">
                  <c:v>19.529432467432116</c:v>
                </c:pt>
                <c:pt idx="35">
                  <c:v>19.525845959566084</c:v>
                </c:pt>
                <c:pt idx="36">
                  <c:v>19.522265914852198</c:v>
                </c:pt>
                <c:pt idx="37">
                  <c:v>19.518692328405166</c:v>
                </c:pt>
                <c:pt idx="38">
                  <c:v>19.515125195348162</c:v>
                </c:pt>
                <c:pt idx="39">
                  <c:v>19.511564510812264</c:v>
                </c:pt>
                <c:pt idx="40">
                  <c:v>19.508010269937017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4B8-BA4B-B60E-1C15A8AB85BF}"/>
            </c:ext>
          </c:extLst>
        </c:ser>
        <c:ser>
          <c:idx val="2"/>
          <c:order val="3"/>
          <c:tx>
            <c:strRef>
              <c:f>Standortgrafik!$R$15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D-04B8-BA4B-B60E-1C15A8AB85BF}"/>
              </c:ext>
            </c:extLst>
          </c:dPt>
          <c:xVal>
            <c:numRef>
              <c:f>Standortgrafik!$R$16:$R$58</c:f>
              <c:numCache>
                <c:formatCode>General</c:formatCode>
                <c:ptCount val="43"/>
                <c:pt idx="41" formatCode="0.00">
                  <c:v>19.936907660848625</c:v>
                </c:pt>
                <c:pt idx="42" formatCode="0.00">
                  <c:v>19.572669225930063</c:v>
                </c:pt>
              </c:numCache>
            </c:numRef>
          </c:xVal>
          <c:yVal>
            <c:numRef>
              <c:f>Standortgrafik!$J$16:$J$58</c:f>
              <c:numCache>
                <c:formatCode>#,##0.00\ _€</c:formatCode>
                <c:ptCount val="43"/>
                <c:pt idx="0">
                  <c:v>36.070208743365789</c:v>
                </c:pt>
                <c:pt idx="1">
                  <c:v>36.057708743365787</c:v>
                </c:pt>
                <c:pt idx="2">
                  <c:v>36.045208743365784</c:v>
                </c:pt>
                <c:pt idx="3">
                  <c:v>36.032708743365781</c:v>
                </c:pt>
                <c:pt idx="4">
                  <c:v>36.020208743365778</c:v>
                </c:pt>
                <c:pt idx="5">
                  <c:v>36.007708743365775</c:v>
                </c:pt>
                <c:pt idx="6">
                  <c:v>35.995208743365772</c:v>
                </c:pt>
                <c:pt idx="7">
                  <c:v>35.98270874336577</c:v>
                </c:pt>
                <c:pt idx="8">
                  <c:v>35.970208743365767</c:v>
                </c:pt>
                <c:pt idx="9">
                  <c:v>35.957708743365764</c:v>
                </c:pt>
                <c:pt idx="10">
                  <c:v>35.945208743365761</c:v>
                </c:pt>
                <c:pt idx="11">
                  <c:v>35.932708743365758</c:v>
                </c:pt>
                <c:pt idx="12">
                  <c:v>35.920208743365755</c:v>
                </c:pt>
                <c:pt idx="13">
                  <c:v>35.907708743365752</c:v>
                </c:pt>
                <c:pt idx="14">
                  <c:v>35.89520874336575</c:v>
                </c:pt>
                <c:pt idx="15">
                  <c:v>35.882708743365747</c:v>
                </c:pt>
                <c:pt idx="16">
                  <c:v>35.870208743365744</c:v>
                </c:pt>
                <c:pt idx="17">
                  <c:v>35.857708743365741</c:v>
                </c:pt>
                <c:pt idx="18">
                  <c:v>35.845208743365738</c:v>
                </c:pt>
                <c:pt idx="19">
                  <c:v>35.832708743365735</c:v>
                </c:pt>
                <c:pt idx="20">
                  <c:v>35.820208743365733</c:v>
                </c:pt>
                <c:pt idx="21">
                  <c:v>35.80770874336573</c:v>
                </c:pt>
                <c:pt idx="22">
                  <c:v>35.795208743365727</c:v>
                </c:pt>
                <c:pt idx="23">
                  <c:v>35.782708743365724</c:v>
                </c:pt>
                <c:pt idx="24">
                  <c:v>35.770208743365721</c:v>
                </c:pt>
                <c:pt idx="25">
                  <c:v>35.757708743365718</c:v>
                </c:pt>
                <c:pt idx="26">
                  <c:v>35.745208743365716</c:v>
                </c:pt>
                <c:pt idx="27">
                  <c:v>35.732708743365713</c:v>
                </c:pt>
                <c:pt idx="28">
                  <c:v>35.72020874336571</c:v>
                </c:pt>
                <c:pt idx="29">
                  <c:v>35.707708743365707</c:v>
                </c:pt>
                <c:pt idx="30">
                  <c:v>35.695208743365704</c:v>
                </c:pt>
                <c:pt idx="31">
                  <c:v>35.682708743365701</c:v>
                </c:pt>
                <c:pt idx="32">
                  <c:v>35.670208743365698</c:v>
                </c:pt>
                <c:pt idx="33">
                  <c:v>35.657708743365696</c:v>
                </c:pt>
                <c:pt idx="34">
                  <c:v>35.645208743365693</c:v>
                </c:pt>
                <c:pt idx="35">
                  <c:v>35.63270874336569</c:v>
                </c:pt>
                <c:pt idx="36">
                  <c:v>35.620208743365687</c:v>
                </c:pt>
                <c:pt idx="37">
                  <c:v>35.607708743365684</c:v>
                </c:pt>
                <c:pt idx="38">
                  <c:v>35.595208743365681</c:v>
                </c:pt>
                <c:pt idx="39">
                  <c:v>35.582708743365679</c:v>
                </c:pt>
                <c:pt idx="40">
                  <c:v>35.570208743365676</c:v>
                </c:pt>
                <c:pt idx="41">
                  <c:v>35.846255970015768</c:v>
                </c:pt>
                <c:pt idx="42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4B8-BA4B-B60E-1C15A8AB8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5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5"/>
        <c:minorUnit val="0.16660000000000003"/>
      </c:valAx>
      <c:spPr>
        <a:noFill/>
        <a:ln>
          <a:noFill/>
        </a:ln>
        <a:effectLst/>
      </c:spPr>
    </c:plotArea>
    <c:plotVisOnly val="0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57.044982267149123</c:v>
                </c:pt>
                <c:pt idx="1">
                  <c:v>57.044982267149123</c:v>
                </c:pt>
                <c:pt idx="2">
                  <c:v>62.367596508580618</c:v>
                </c:pt>
                <c:pt idx="3">
                  <c:v>65.282188805207738</c:v>
                </c:pt>
                <c:pt idx="4">
                  <c:v>67.429628299604076</c:v>
                </c:pt>
                <c:pt idx="5">
                  <c:v>69.18931916351255</c:v>
                </c:pt>
                <c:pt idx="6">
                  <c:v>70.701594743710245</c:v>
                </c:pt>
                <c:pt idx="7">
                  <c:v>72.037269096886689</c:v>
                </c:pt>
                <c:pt idx="8">
                  <c:v>73.238149342624126</c:v>
                </c:pt>
                <c:pt idx="9">
                  <c:v>74.331435834554497</c:v>
                </c:pt>
                <c:pt idx="10">
                  <c:v>75.336044553821239</c:v>
                </c:pt>
                <c:pt idx="11">
                  <c:v>76.265786601066566</c:v>
                </c:pt>
                <c:pt idx="12">
                  <c:v>77.131128018671518</c:v>
                </c:pt>
                <c:pt idx="13">
                  <c:v>77.940236304631924</c:v>
                </c:pt>
                <c:pt idx="14">
                  <c:v>78.699638541095851</c:v>
                </c:pt>
                <c:pt idx="15">
                  <c:v>79.414654288575036</c:v>
                </c:pt>
                <c:pt idx="16">
                  <c:v>80.089691035391638</c:v>
                </c:pt>
                <c:pt idx="17">
                  <c:v>80.728452169937952</c:v>
                </c:pt>
                <c:pt idx="18">
                  <c:v>81.334087272666977</c:v>
                </c:pt>
                <c:pt idx="19">
                  <c:v>81.909303209351549</c:v>
                </c:pt>
                <c:pt idx="20">
                  <c:v>82.456447881469273</c:v>
                </c:pt>
                <c:pt idx="21">
                  <c:v>82.977574464455301</c:v>
                </c:pt>
                <c:pt idx="22">
                  <c:v>83.474491439828171</c:v>
                </c:pt>
                <c:pt idx="23">
                  <c:v>83.948802098494298</c:v>
                </c:pt>
                <c:pt idx="24">
                  <c:v>84.401936115440378</c:v>
                </c:pt>
                <c:pt idx="25">
                  <c:v>84.835175067767693</c:v>
                </c:pt>
                <c:pt idx="26">
                  <c:v>85.249673265750516</c:v>
                </c:pt>
                <c:pt idx="27">
                  <c:v>85.646474913905934</c:v>
                </c:pt>
                <c:pt idx="28">
                  <c:v>86.026528367352228</c:v>
                </c:pt>
                <c:pt idx="29">
                  <c:v>86.390698066394805</c:v>
                </c:pt>
                <c:pt idx="30">
                  <c:v>86.739774598392898</c:v>
                </c:pt>
                <c:pt idx="31">
                  <c:v>87.074483236418473</c:v>
                </c:pt>
                <c:pt idx="32">
                  <c:v>87.395491229349375</c:v>
                </c:pt>
                <c:pt idx="33">
                  <c:v>87.703414061126637</c:v>
                </c:pt>
                <c:pt idx="34">
                  <c:v>87.998820853214397</c:v>
                </c:pt>
                <c:pt idx="35">
                  <c:v>88.282239050445355</c:v>
                </c:pt>
                <c:pt idx="36">
                  <c:v>88.554158503980887</c:v>
                </c:pt>
                <c:pt idx="37">
                  <c:v>88.815035044270928</c:v>
                </c:pt>
                <c:pt idx="38">
                  <c:v>89.065293620356044</c:v>
                </c:pt>
                <c:pt idx="39">
                  <c:v>89.30533106863038</c:v>
                </c:pt>
                <c:pt idx="40">
                  <c:v>89.535518563542098</c:v>
                </c:pt>
                <c:pt idx="41">
                  <c:v>89.756203794090879</c:v>
                </c:pt>
                <c:pt idx="42">
                  <c:v>89.967712902962774</c:v>
                </c:pt>
                <c:pt idx="43">
                  <c:v>90.170352219392782</c:v>
                </c:pt>
                <c:pt idx="44">
                  <c:v>90.364409812109898</c:v>
                </c:pt>
                <c:pt idx="45">
                  <c:v>90.550156884800685</c:v>
                </c:pt>
                <c:pt idx="46">
                  <c:v>90.727849033268683</c:v>
                </c:pt>
                <c:pt idx="47">
                  <c:v>90.897727380742026</c:v>
                </c:pt>
                <c:pt idx="48">
                  <c:v>91.060019605498894</c:v>
                </c:pt>
                <c:pt idx="49">
                  <c:v>91.214940873054672</c:v>
                </c:pt>
                <c:pt idx="50">
                  <c:v>91.362694683525774</c:v>
                </c:pt>
                <c:pt idx="51">
                  <c:v>91.503473643402856</c:v>
                </c:pt>
                <c:pt idx="52">
                  <c:v>91.637460169788937</c:v>
                </c:pt>
                <c:pt idx="53">
                  <c:v>91.764827134147936</c:v>
                </c:pt>
                <c:pt idx="54">
                  <c:v>91.885738451747102</c:v>
                </c:pt>
                <c:pt idx="55">
                  <c:v>92.000349622232079</c:v>
                </c:pt>
                <c:pt idx="56">
                  <c:v>92.10880822612944</c:v>
                </c:pt>
                <c:pt idx="57">
                  <c:v>92.211254381518131</c:v>
                </c:pt>
                <c:pt idx="58">
                  <c:v>92.307821164624897</c:v>
                </c:pt>
                <c:pt idx="59">
                  <c:v>92.398634997681597</c:v>
                </c:pt>
                <c:pt idx="60">
                  <c:v>92.483816007011001</c:v>
                </c:pt>
                <c:pt idx="61">
                  <c:v>92.563478353991172</c:v>
                </c:pt>
                <c:pt idx="62">
                  <c:v>92.63773054126068</c:v>
                </c:pt>
                <c:pt idx="63">
                  <c:v>92.706675696283867</c:v>
                </c:pt>
                <c:pt idx="64">
                  <c:v>92.77041183417316</c:v>
                </c:pt>
                <c:pt idx="65">
                  <c:v>92.829032101473217</c:v>
                </c:pt>
                <c:pt idx="66">
                  <c:v>92.882625002440989</c:v>
                </c:pt>
                <c:pt idx="67">
                  <c:v>92.931274609201864</c:v>
                </c:pt>
                <c:pt idx="68">
                  <c:v>92.975060757028643</c:v>
                </c:pt>
                <c:pt idx="69">
                  <c:v>93.014059225868436</c:v>
                </c:pt>
                <c:pt idx="70">
                  <c:v>93.048341909134706</c:v>
                </c:pt>
                <c:pt idx="71">
                  <c:v>93.07797697068537</c:v>
                </c:pt>
                <c:pt idx="72">
                  <c:v>93.103028990821656</c:v>
                </c:pt>
                <c:pt idx="73">
                  <c:v>93.123559102063041</c:v>
                </c:pt>
                <c:pt idx="74">
                  <c:v>93.139625115386593</c:v>
                </c:pt>
                <c:pt idx="75">
                  <c:v>93.151281637550028</c:v>
                </c:pt>
                <c:pt idx="76">
                  <c:v>93.15858018006719</c:v>
                </c:pt>
                <c:pt idx="77">
                  <c:v>93.161569260346823</c:v>
                </c:pt>
                <c:pt idx="78">
                  <c:v>93.160294495461812</c:v>
                </c:pt>
                <c:pt idx="79">
                  <c:v>93.154798688969947</c:v>
                </c:pt>
                <c:pt idx="80">
                  <c:v>93.145121911170975</c:v>
                </c:pt>
                <c:pt idx="81">
                  <c:v>93.131301573145436</c:v>
                </c:pt>
                <c:pt idx="82">
                  <c:v>93.113372494888154</c:v>
                </c:pt>
                <c:pt idx="83">
                  <c:v>93.09136696782042</c:v>
                </c:pt>
                <c:pt idx="84">
                  <c:v>93.065314811933604</c:v>
                </c:pt>
                <c:pt idx="85">
                  <c:v>93.035243427791102</c:v>
                </c:pt>
                <c:pt idx="86">
                  <c:v>93.001177843592927</c:v>
                </c:pt>
                <c:pt idx="87">
                  <c:v>92.963140757479835</c:v>
                </c:pt>
                <c:pt idx="88">
                  <c:v>92.921152575235567</c:v>
                </c:pt>
                <c:pt idx="89">
                  <c:v>92.875231443523035</c:v>
                </c:pt>
                <c:pt idx="90">
                  <c:v>92.825393278771003</c:v>
                </c:pt>
                <c:pt idx="91">
                  <c:v>92.771651791807869</c:v>
                </c:pt>
                <c:pt idx="92">
                  <c:v>92.714018508322226</c:v>
                </c:pt>
                <c:pt idx="93">
                  <c:v>92.65250278520989</c:v>
                </c:pt>
                <c:pt idx="94">
                  <c:v>92.587111822851853</c:v>
                </c:pt>
                <c:pt idx="95">
                  <c:v>92.517850673346857</c:v>
                </c:pt>
                <c:pt idx="96">
                  <c:v>92.444722244709453</c:v>
                </c:pt>
                <c:pt idx="97">
                  <c:v>92.367727301021716</c:v>
                </c:pt>
                <c:pt idx="98">
                  <c:v>92.286864458514913</c:v>
                </c:pt>
                <c:pt idx="99">
                  <c:v>92.202130177533604</c:v>
                </c:pt>
                <c:pt idx="100">
                  <c:v>92.113518750321418</c:v>
                </c:pt>
                <c:pt idx="101">
                  <c:v>92.021022284545211</c:v>
                </c:pt>
                <c:pt idx="102">
                  <c:v>91.924630682456041</c:v>
                </c:pt>
                <c:pt idx="103">
                  <c:v>91.824331615564688</c:v>
                </c:pt>
                <c:pt idx="104">
                  <c:v>91.720110494686423</c:v>
                </c:pt>
                <c:pt idx="105">
                  <c:v>91.611950435187225</c:v>
                </c:pt>
                <c:pt idx="106">
                  <c:v>91.499832217238634</c:v>
                </c:pt>
                <c:pt idx="107">
                  <c:v>91.383734240861827</c:v>
                </c:pt>
                <c:pt idx="108">
                  <c:v>91.263632475512452</c:v>
                </c:pt>
                <c:pt idx="109">
                  <c:v>91.139500403925467</c:v>
                </c:pt>
                <c:pt idx="110">
                  <c:v>91.011308959908661</c:v>
                </c:pt>
                <c:pt idx="111">
                  <c:v>90.879026459731563</c:v>
                </c:pt>
                <c:pt idx="112">
                  <c:v>90.742618526720321</c:v>
                </c:pt>
                <c:pt idx="113">
                  <c:v>90.602048008621466</c:v>
                </c:pt>
                <c:pt idx="114">
                  <c:v>90.457274887249298</c:v>
                </c:pt>
                <c:pt idx="115">
                  <c:v>90.308256179877787</c:v>
                </c:pt>
                <c:pt idx="116">
                  <c:v>90.154945831775194</c:v>
                </c:pt>
                <c:pt idx="117">
                  <c:v>89.997294599215309</c:v>
                </c:pt>
                <c:pt idx="118">
                  <c:v>89.835249922221067</c:v>
                </c:pt>
                <c:pt idx="119">
                  <c:v>89.668755786214831</c:v>
                </c:pt>
                <c:pt idx="120">
                  <c:v>89.497752571654246</c:v>
                </c:pt>
                <c:pt idx="121">
                  <c:v>89.322176890626906</c:v>
                </c:pt>
                <c:pt idx="122">
                  <c:v>89.141961409258784</c:v>
                </c:pt>
                <c:pt idx="123">
                  <c:v>88.957034654655956</c:v>
                </c:pt>
                <c:pt idx="124">
                  <c:v>88.767320804947644</c:v>
                </c:pt>
                <c:pt idx="125">
                  <c:v>88.572739460825915</c:v>
                </c:pt>
                <c:pt idx="126">
                  <c:v>88.373205396780122</c:v>
                </c:pt>
                <c:pt idx="127">
                  <c:v>88.168628290001948</c:v>
                </c:pt>
                <c:pt idx="128">
                  <c:v>87.958912424679284</c:v>
                </c:pt>
                <c:pt idx="129">
                  <c:v>87.743956369104467</c:v>
                </c:pt>
                <c:pt idx="130">
                  <c:v>87.523652622684551</c:v>
                </c:pt>
                <c:pt idx="131">
                  <c:v>87.29788722955459</c:v>
                </c:pt>
                <c:pt idx="132">
                  <c:v>87.066539355041641</c:v>
                </c:pt>
                <c:pt idx="133">
                  <c:v>86.829480820710273</c:v>
                </c:pt>
                <c:pt idx="134">
                  <c:v>86.586575593112912</c:v>
                </c:pt>
                <c:pt idx="135">
                  <c:v>86.337679220660277</c:v>
                </c:pt>
                <c:pt idx="136">
                  <c:v>86.082638212202482</c:v>
                </c:pt>
                <c:pt idx="137">
                  <c:v>85.821289349937615</c:v>
                </c:pt>
                <c:pt idx="138">
                  <c:v>85.553458928120278</c:v>
                </c:pt>
                <c:pt idx="139">
                  <c:v>85.278961907686437</c:v>
                </c:pt>
                <c:pt idx="140">
                  <c:v>84.997600975301737</c:v>
                </c:pt>
                <c:pt idx="141">
                  <c:v>84.709165493418652</c:v>
                </c:pt>
                <c:pt idx="142">
                  <c:v>84.413430325627758</c:v>
                </c:pt>
                <c:pt idx="143">
                  <c:v>84.110154518820991</c:v>
                </c:pt>
                <c:pt idx="144">
                  <c:v>83.799079820333873</c:v>
                </c:pt>
                <c:pt idx="145">
                  <c:v>83.479929004168127</c:v>
                </c:pt>
                <c:pt idx="146">
                  <c:v>83.152403975425159</c:v>
                </c:pt>
                <c:pt idx="147">
                  <c:v>82.816183615977309</c:v>
                </c:pt>
                <c:pt idx="148">
                  <c:v>82.470921326856967</c:v>
                </c:pt>
                <c:pt idx="149">
                  <c:v>82.116242213468468</c:v>
                </c:pt>
                <c:pt idx="150">
                  <c:v>81.751739847985391</c:v>
                </c:pt>
                <c:pt idx="151">
                  <c:v>81.376972528499948</c:v>
                </c:pt>
                <c:pt idx="152">
                  <c:v>80.991458935705623</c:v>
                </c:pt>
                <c:pt idx="153">
                  <c:v>80.594673063841697</c:v>
                </c:pt>
                <c:pt idx="154">
                  <c:v>80.186038271586767</c:v>
                </c:pt>
                <c:pt idx="155">
                  <c:v>79.76492025814531</c:v>
                </c:pt>
                <c:pt idx="156">
                  <c:v>79.330618716566619</c:v>
                </c:pt>
                <c:pt idx="157">
                  <c:v>78.882357345602941</c:v>
                </c:pt>
                <c:pt idx="158">
                  <c:v>78.419271806293409</c:v>
                </c:pt>
                <c:pt idx="159">
                  <c:v>77.940395079958762</c:v>
                </c:pt>
                <c:pt idx="160">
                  <c:v>77.444639505597706</c:v>
                </c:pt>
                <c:pt idx="161">
                  <c:v>76.930774524446349</c:v>
                </c:pt>
                <c:pt idx="162">
                  <c:v>76.397398803393514</c:v>
                </c:pt>
                <c:pt idx="163">
                  <c:v>75.84290489318613</c:v>
                </c:pt>
                <c:pt idx="164">
                  <c:v>75.265433815502433</c:v>
                </c:pt>
                <c:pt idx="165">
                  <c:v>74.662815822704374</c:v>
                </c:pt>
                <c:pt idx="166">
                  <c:v>74.032491794310715</c:v>
                </c:pt>
                <c:pt idx="167">
                  <c:v>73.371406903217974</c:v>
                </c:pt>
                <c:pt idx="168">
                  <c:v>72.675863537403529</c:v>
                </c:pt>
                <c:pt idx="169">
                  <c:v>71.941312552759314</c:v>
                </c:pt>
                <c:pt idx="170">
                  <c:v>71.162047890138524</c:v>
                </c:pt>
                <c:pt idx="171">
                  <c:v>70.330743392167903</c:v>
                </c:pt>
                <c:pt idx="172">
                  <c:v>69.437718788128564</c:v>
                </c:pt>
                <c:pt idx="173">
                  <c:v>68.469711380864567</c:v>
                </c:pt>
                <c:pt idx="174">
                  <c:v>67.407672353131261</c:v>
                </c:pt>
                <c:pt idx="175">
                  <c:v>66.222429802236661</c:v>
                </c:pt>
                <c:pt idx="176">
                  <c:v>64.864967860658339</c:v>
                </c:pt>
                <c:pt idx="177">
                  <c:v>63.239822837817712</c:v>
                </c:pt>
                <c:pt idx="178">
                  <c:v>61.100303051726996</c:v>
                </c:pt>
                <c:pt idx="179">
                  <c:v>56.770207314119432</c:v>
                </c:pt>
                <c:pt idx="180">
                  <c:v>56.770207314119432</c:v>
                </c:pt>
                <c:pt idx="181">
                  <c:v>56.770207314119432</c:v>
                </c:pt>
                <c:pt idx="182">
                  <c:v>56.770207314119432</c:v>
                </c:pt>
                <c:pt idx="183">
                  <c:v>56.770207314119432</c:v>
                </c:pt>
                <c:pt idx="184">
                  <c:v>56.770207314119432</c:v>
                </c:pt>
                <c:pt idx="185">
                  <c:v>56.770207314119432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39-4440-9FF5-395D9AC8DD4F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54.811858241569382</c:v>
                </c:pt>
                <c:pt idx="1">
                  <c:v>54.811858241569382</c:v>
                </c:pt>
                <c:pt idx="2">
                  <c:v>49.48924400013783</c:v>
                </c:pt>
                <c:pt idx="3">
                  <c:v>46.57465170351071</c:v>
                </c:pt>
                <c:pt idx="4">
                  <c:v>44.42721220911443</c:v>
                </c:pt>
                <c:pt idx="5">
                  <c:v>42.667521345205898</c:v>
                </c:pt>
                <c:pt idx="6">
                  <c:v>41.155245765008203</c:v>
                </c:pt>
                <c:pt idx="7">
                  <c:v>39.81957141183176</c:v>
                </c:pt>
                <c:pt idx="8">
                  <c:v>38.618691166094322</c:v>
                </c:pt>
                <c:pt idx="9">
                  <c:v>37.525404674163951</c:v>
                </c:pt>
                <c:pt idx="10">
                  <c:v>36.520795954897267</c:v>
                </c:pt>
                <c:pt idx="11">
                  <c:v>35.591053907651883</c:v>
                </c:pt>
                <c:pt idx="12">
                  <c:v>34.725712490046988</c:v>
                </c:pt>
                <c:pt idx="13">
                  <c:v>33.916604204086582</c:v>
                </c:pt>
                <c:pt idx="14">
                  <c:v>33.157201967622598</c:v>
                </c:pt>
                <c:pt idx="15">
                  <c:v>32.442186220143469</c:v>
                </c:pt>
                <c:pt idx="16">
                  <c:v>31.767149473326867</c:v>
                </c:pt>
                <c:pt idx="17">
                  <c:v>31.128388338780496</c:v>
                </c:pt>
                <c:pt idx="18">
                  <c:v>30.522753236051472</c:v>
                </c:pt>
                <c:pt idx="19">
                  <c:v>29.9475372993669</c:v>
                </c:pt>
                <c:pt idx="20">
                  <c:v>29.400392627249175</c:v>
                </c:pt>
                <c:pt idx="21">
                  <c:v>28.879266044263204</c:v>
                </c:pt>
                <c:pt idx="22">
                  <c:v>28.382349068890278</c:v>
                </c:pt>
                <c:pt idx="23">
                  <c:v>27.908038410224151</c:v>
                </c:pt>
                <c:pt idx="24">
                  <c:v>27.454904393278127</c:v>
                </c:pt>
                <c:pt idx="25">
                  <c:v>27.021665440950756</c:v>
                </c:pt>
                <c:pt idx="26">
                  <c:v>26.607167242967932</c:v>
                </c:pt>
                <c:pt idx="27">
                  <c:v>26.210365594812515</c:v>
                </c:pt>
                <c:pt idx="28">
                  <c:v>25.830312141366221</c:v>
                </c:pt>
                <c:pt idx="29">
                  <c:v>25.466142442323644</c:v>
                </c:pt>
                <c:pt idx="30">
                  <c:v>25.11706591032555</c:v>
                </c:pt>
                <c:pt idx="31">
                  <c:v>24.782357272299976</c:v>
                </c:pt>
                <c:pt idx="32">
                  <c:v>24.461349279369131</c:v>
                </c:pt>
                <c:pt idx="33">
                  <c:v>24.153426447591812</c:v>
                </c:pt>
                <c:pt idx="34">
                  <c:v>23.858019655504052</c:v>
                </c:pt>
                <c:pt idx="35">
                  <c:v>23.574601458273094</c:v>
                </c:pt>
                <c:pt idx="36">
                  <c:v>23.302682004737619</c:v>
                </c:pt>
                <c:pt idx="37">
                  <c:v>23.041805464447521</c:v>
                </c:pt>
                <c:pt idx="38">
                  <c:v>22.791546888362404</c:v>
                </c:pt>
                <c:pt idx="39">
                  <c:v>22.551509440088068</c:v>
                </c:pt>
                <c:pt idx="40">
                  <c:v>22.321321945176351</c:v>
                </c:pt>
                <c:pt idx="41">
                  <c:v>22.100636714627626</c:v>
                </c:pt>
                <c:pt idx="42">
                  <c:v>21.889127605755732</c:v>
                </c:pt>
                <c:pt idx="43">
                  <c:v>21.686488289325666</c:v>
                </c:pt>
                <c:pt idx="44">
                  <c:v>21.492430696608551</c:v>
                </c:pt>
                <c:pt idx="45">
                  <c:v>21.30668362391782</c:v>
                </c:pt>
                <c:pt idx="46">
                  <c:v>21.128991475449766</c:v>
                </c:pt>
                <c:pt idx="47">
                  <c:v>20.95911312797648</c:v>
                </c:pt>
                <c:pt idx="48">
                  <c:v>20.796820903219611</c:v>
                </c:pt>
                <c:pt idx="49">
                  <c:v>20.641899635663776</c:v>
                </c:pt>
                <c:pt idx="50">
                  <c:v>20.494145825192675</c:v>
                </c:pt>
                <c:pt idx="51">
                  <c:v>20.353366865315593</c:v>
                </c:pt>
                <c:pt idx="52">
                  <c:v>20.219380338929511</c:v>
                </c:pt>
                <c:pt idx="53">
                  <c:v>20.092013374570513</c:v>
                </c:pt>
                <c:pt idx="54">
                  <c:v>19.971102056971404</c:v>
                </c:pt>
                <c:pt idx="55">
                  <c:v>19.85649088648637</c:v>
                </c:pt>
                <c:pt idx="56">
                  <c:v>19.748032282589008</c:v>
                </c:pt>
                <c:pt idx="57">
                  <c:v>19.645586127200318</c:v>
                </c:pt>
                <c:pt idx="58">
                  <c:v>19.549019344093551</c:v>
                </c:pt>
                <c:pt idx="59">
                  <c:v>19.458205511036908</c:v>
                </c:pt>
                <c:pt idx="60">
                  <c:v>19.373024501707505</c:v>
                </c:pt>
                <c:pt idx="61">
                  <c:v>19.293362154727276</c:v>
                </c:pt>
                <c:pt idx="62">
                  <c:v>19.219109967457825</c:v>
                </c:pt>
                <c:pt idx="63">
                  <c:v>19.150164812434582</c:v>
                </c:pt>
                <c:pt idx="64">
                  <c:v>19.086428674545346</c:v>
                </c:pt>
                <c:pt idx="65">
                  <c:v>19.027808407245288</c:v>
                </c:pt>
                <c:pt idx="66">
                  <c:v>18.97421550627746</c:v>
                </c:pt>
                <c:pt idx="67">
                  <c:v>18.925565899516641</c:v>
                </c:pt>
                <c:pt idx="68">
                  <c:v>18.881779751689862</c:v>
                </c:pt>
                <c:pt idx="69">
                  <c:v>18.842781282850012</c:v>
                </c:pt>
                <c:pt idx="70">
                  <c:v>18.808498599583743</c:v>
                </c:pt>
                <c:pt idx="71">
                  <c:v>18.778863538033079</c:v>
                </c:pt>
                <c:pt idx="72">
                  <c:v>18.75381151789685</c:v>
                </c:pt>
                <c:pt idx="73">
                  <c:v>18.733281406655408</c:v>
                </c:pt>
                <c:pt idx="74">
                  <c:v>18.717215393331855</c:v>
                </c:pt>
                <c:pt idx="75">
                  <c:v>18.705558871168421</c:v>
                </c:pt>
                <c:pt idx="76">
                  <c:v>18.698260328651315</c:v>
                </c:pt>
                <c:pt idx="77">
                  <c:v>18.695271248371625</c:v>
                </c:pt>
                <c:pt idx="78">
                  <c:v>18.696546013256636</c:v>
                </c:pt>
                <c:pt idx="79">
                  <c:v>18.702041819748558</c:v>
                </c:pt>
                <c:pt idx="80">
                  <c:v>18.711718597547474</c:v>
                </c:pt>
                <c:pt idx="81">
                  <c:v>18.725538935573013</c:v>
                </c:pt>
                <c:pt idx="82">
                  <c:v>18.743468013830295</c:v>
                </c:pt>
                <c:pt idx="83">
                  <c:v>18.765473540898029</c:v>
                </c:pt>
                <c:pt idx="84">
                  <c:v>18.791525696784902</c:v>
                </c:pt>
                <c:pt idx="85">
                  <c:v>18.821597080927404</c:v>
                </c:pt>
                <c:pt idx="86">
                  <c:v>18.855662665125521</c:v>
                </c:pt>
                <c:pt idx="87">
                  <c:v>18.893699751238614</c:v>
                </c:pt>
                <c:pt idx="88">
                  <c:v>18.935687933482882</c:v>
                </c:pt>
                <c:pt idx="89">
                  <c:v>18.981609065195414</c:v>
                </c:pt>
                <c:pt idx="90">
                  <c:v>19.031447229947446</c:v>
                </c:pt>
                <c:pt idx="91">
                  <c:v>19.085188716910579</c:v>
                </c:pt>
                <c:pt idx="92">
                  <c:v>19.142822000396279</c:v>
                </c:pt>
                <c:pt idx="93">
                  <c:v>19.204337723508559</c:v>
                </c:pt>
                <c:pt idx="94">
                  <c:v>19.269728685866596</c:v>
                </c:pt>
                <c:pt idx="95">
                  <c:v>19.338989835371592</c:v>
                </c:pt>
                <c:pt idx="96">
                  <c:v>19.412118264009052</c:v>
                </c:pt>
                <c:pt idx="97">
                  <c:v>19.489113207696789</c:v>
                </c:pt>
                <c:pt idx="98">
                  <c:v>19.569976050203593</c:v>
                </c:pt>
                <c:pt idx="99">
                  <c:v>19.654710331184845</c:v>
                </c:pt>
                <c:pt idx="100">
                  <c:v>19.74332175839703</c:v>
                </c:pt>
                <c:pt idx="101">
                  <c:v>19.835818224173295</c:v>
                </c:pt>
                <c:pt idx="102">
                  <c:v>19.932209826262465</c:v>
                </c:pt>
                <c:pt idx="103">
                  <c:v>20.032508893153761</c:v>
                </c:pt>
                <c:pt idx="104">
                  <c:v>20.136730014032025</c:v>
                </c:pt>
                <c:pt idx="105">
                  <c:v>20.244890073531224</c:v>
                </c:pt>
                <c:pt idx="106">
                  <c:v>20.357008291479872</c:v>
                </c:pt>
                <c:pt idx="107">
                  <c:v>20.473106267856622</c:v>
                </c:pt>
                <c:pt idx="108">
                  <c:v>20.593208033205997</c:v>
                </c:pt>
                <c:pt idx="109">
                  <c:v>20.717340104793038</c:v>
                </c:pt>
                <c:pt idx="110">
                  <c:v>20.845531548809788</c:v>
                </c:pt>
                <c:pt idx="111">
                  <c:v>20.977814048986886</c:v>
                </c:pt>
                <c:pt idx="112">
                  <c:v>21.114221981998128</c:v>
                </c:pt>
                <c:pt idx="113">
                  <c:v>21.254792500096983</c:v>
                </c:pt>
                <c:pt idx="114">
                  <c:v>21.399565621469151</c:v>
                </c:pt>
                <c:pt idx="115">
                  <c:v>21.548584328840661</c:v>
                </c:pt>
                <c:pt idx="116">
                  <c:v>21.701894676943311</c:v>
                </c:pt>
                <c:pt idx="117">
                  <c:v>21.85954590950314</c:v>
                </c:pt>
                <c:pt idx="118">
                  <c:v>22.021590586497382</c:v>
                </c:pt>
                <c:pt idx="119">
                  <c:v>22.188084722503618</c:v>
                </c:pt>
                <c:pt idx="120">
                  <c:v>22.359087937064203</c:v>
                </c:pt>
                <c:pt idx="121">
                  <c:v>22.534663618091543</c:v>
                </c:pt>
                <c:pt idx="122">
                  <c:v>22.714879099459722</c:v>
                </c:pt>
                <c:pt idx="123">
                  <c:v>22.899805854062492</c:v>
                </c:pt>
                <c:pt idx="124">
                  <c:v>23.089519703770804</c:v>
                </c:pt>
                <c:pt idx="125">
                  <c:v>23.284101047892534</c:v>
                </c:pt>
                <c:pt idx="126">
                  <c:v>23.483635111938327</c:v>
                </c:pt>
                <c:pt idx="127">
                  <c:v>23.688212218716501</c:v>
                </c:pt>
                <c:pt idx="128">
                  <c:v>23.897928084039222</c:v>
                </c:pt>
                <c:pt idx="129">
                  <c:v>24.112884139614039</c:v>
                </c:pt>
                <c:pt idx="130">
                  <c:v>24.333187886033897</c:v>
                </c:pt>
                <c:pt idx="131">
                  <c:v>24.558953279163859</c:v>
                </c:pt>
                <c:pt idx="132">
                  <c:v>24.790301153676864</c:v>
                </c:pt>
                <c:pt idx="133">
                  <c:v>25.027359688008232</c:v>
                </c:pt>
                <c:pt idx="134">
                  <c:v>25.270264915605537</c:v>
                </c:pt>
                <c:pt idx="135">
                  <c:v>25.519161288058172</c:v>
                </c:pt>
                <c:pt idx="136">
                  <c:v>25.774202296515966</c:v>
                </c:pt>
                <c:pt idx="137">
                  <c:v>26.035551158780891</c:v>
                </c:pt>
                <c:pt idx="138">
                  <c:v>26.303381580598227</c:v>
                </c:pt>
                <c:pt idx="139">
                  <c:v>26.577878601032069</c:v>
                </c:pt>
                <c:pt idx="140">
                  <c:v>26.859239533416712</c:v>
                </c:pt>
                <c:pt idx="141">
                  <c:v>27.147675015299853</c:v>
                </c:pt>
                <c:pt idx="142">
                  <c:v>27.443410183090691</c:v>
                </c:pt>
                <c:pt idx="143">
                  <c:v>27.746685989897458</c:v>
                </c:pt>
                <c:pt idx="144">
                  <c:v>28.057760688384576</c:v>
                </c:pt>
                <c:pt idx="145">
                  <c:v>28.376911504550378</c:v>
                </c:pt>
                <c:pt idx="146">
                  <c:v>28.70443653329329</c:v>
                </c:pt>
                <c:pt idx="147">
                  <c:v>29.04065689274114</c:v>
                </c:pt>
                <c:pt idx="148">
                  <c:v>29.385919181861482</c:v>
                </c:pt>
                <c:pt idx="149">
                  <c:v>29.740598295249981</c:v>
                </c:pt>
                <c:pt idx="150">
                  <c:v>30.105100660733058</c:v>
                </c:pt>
                <c:pt idx="151">
                  <c:v>30.479867980218501</c:v>
                </c:pt>
                <c:pt idx="152">
                  <c:v>30.865381573012826</c:v>
                </c:pt>
                <c:pt idx="153">
                  <c:v>31.262167444876809</c:v>
                </c:pt>
                <c:pt idx="154">
                  <c:v>31.670802237131682</c:v>
                </c:pt>
                <c:pt idx="155">
                  <c:v>32.091920250573139</c:v>
                </c:pt>
                <c:pt idx="156">
                  <c:v>32.52622179215183</c:v>
                </c:pt>
                <c:pt idx="157">
                  <c:v>32.974483163115508</c:v>
                </c:pt>
                <c:pt idx="158">
                  <c:v>33.43756870242504</c:v>
                </c:pt>
                <c:pt idx="159">
                  <c:v>33.916445428759687</c:v>
                </c:pt>
                <c:pt idx="160">
                  <c:v>34.412201003120799</c:v>
                </c:pt>
                <c:pt idx="161">
                  <c:v>34.9260659842721</c:v>
                </c:pt>
                <c:pt idx="162">
                  <c:v>35.459441705324934</c:v>
                </c:pt>
                <c:pt idx="163">
                  <c:v>36.013935615532375</c:v>
                </c:pt>
                <c:pt idx="164">
                  <c:v>36.591406693216015</c:v>
                </c:pt>
                <c:pt idx="165">
                  <c:v>37.194024686014131</c:v>
                </c:pt>
                <c:pt idx="166">
                  <c:v>37.82434871440779</c:v>
                </c:pt>
                <c:pt idx="167">
                  <c:v>38.485433605500475</c:v>
                </c:pt>
                <c:pt idx="168">
                  <c:v>39.180976971314919</c:v>
                </c:pt>
                <c:pt idx="169">
                  <c:v>39.915527955959135</c:v>
                </c:pt>
                <c:pt idx="170">
                  <c:v>40.694792618579982</c:v>
                </c:pt>
                <c:pt idx="171">
                  <c:v>41.526097116550545</c:v>
                </c:pt>
                <c:pt idx="172">
                  <c:v>42.419121720589885</c:v>
                </c:pt>
                <c:pt idx="173">
                  <c:v>43.387129127853882</c:v>
                </c:pt>
                <c:pt idx="174">
                  <c:v>44.449168155587188</c:v>
                </c:pt>
                <c:pt idx="175">
                  <c:v>45.634410706481788</c:v>
                </c:pt>
                <c:pt idx="176">
                  <c:v>46.991872648060109</c:v>
                </c:pt>
                <c:pt idx="177">
                  <c:v>48.617017670900736</c:v>
                </c:pt>
                <c:pt idx="178">
                  <c:v>50.756537456991509</c:v>
                </c:pt>
                <c:pt idx="179">
                  <c:v>55.086633194599017</c:v>
                </c:pt>
                <c:pt idx="180">
                  <c:v>55.086633194599017</c:v>
                </c:pt>
                <c:pt idx="181">
                  <c:v>55.086633194599017</c:v>
                </c:pt>
                <c:pt idx="182">
                  <c:v>55.086633194599017</c:v>
                </c:pt>
                <c:pt idx="183">
                  <c:v>55.086633194599017</c:v>
                </c:pt>
                <c:pt idx="184">
                  <c:v>55.086633194599017</c:v>
                </c:pt>
                <c:pt idx="185">
                  <c:v>55.086633194599017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39-4440-9FF5-395D9AC8DD4F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11.048360052950954</c:v>
                </c:pt>
                <c:pt idx="50">
                  <c:v>14.614735262417923</c:v>
                </c:pt>
                <c:pt idx="51">
                  <c:v>16.216941510516619</c:v>
                </c:pt>
                <c:pt idx="52">
                  <c:v>17.416619006333121</c:v>
                </c:pt>
                <c:pt idx="53">
                  <c:v>18.401946811652635</c:v>
                </c:pt>
                <c:pt idx="54">
                  <c:v>19.246870857566364</c:v>
                </c:pt>
                <c:pt idx="55">
                  <c:v>19.989732155718286</c:v>
                </c:pt>
                <c:pt idx="56">
                  <c:v>20.653526446203387</c:v>
                </c:pt>
                <c:pt idx="57">
                  <c:v>21.253369017895182</c:v>
                </c:pt>
                <c:pt idx="58">
                  <c:v>21.799845321534747</c:v>
                </c:pt>
                <c:pt idx="59">
                  <c:v>22.300721815599104</c:v>
                </c:pt>
                <c:pt idx="60">
                  <c:v>22.761903587480958</c:v>
                </c:pt>
                <c:pt idx="61">
                  <c:v>23.188008762401751</c:v>
                </c:pt>
                <c:pt idx="62">
                  <c:v>23.582732220282253</c:v>
                </c:pt>
                <c:pt idx="63">
                  <c:v>23.94908616792361</c:v>
                </c:pt>
                <c:pt idx="64">
                  <c:v>24.289565078652515</c:v>
                </c:pt>
                <c:pt idx="65">
                  <c:v>24.606262233671373</c:v>
                </c:pt>
                <c:pt idx="66">
                  <c:v>24.900954202331377</c:v>
                </c:pt>
                <c:pt idx="67">
                  <c:v>25.175163446010629</c:v>
                </c:pt>
                <c:pt idx="68">
                  <c:v>25.430205607697303</c:v>
                </c:pt>
                <c:pt idx="69">
                  <c:v>25.667225838055629</c:v>
                </c:pt>
                <c:pt idx="70">
                  <c:v>25.887227115828807</c:v>
                </c:pt>
                <c:pt idx="71">
                  <c:v>26.091092618483458</c:v>
                </c:pt>
                <c:pt idx="72">
                  <c:v>26.279603600508551</c:v>
                </c:pt>
                <c:pt idx="73">
                  <c:v>26.453453830886758</c:v>
                </c:pt>
                <c:pt idx="74">
                  <c:v>26.613261360522699</c:v>
                </c:pt>
                <c:pt idx="75">
                  <c:v>26.759578192770277</c:v>
                </c:pt>
                <c:pt idx="76">
                  <c:v>26.892898288789638</c:v>
                </c:pt>
                <c:pt idx="77">
                  <c:v>27.013664236776265</c:v>
                </c:pt>
                <c:pt idx="78">
                  <c:v>27.122272838514618</c:v>
                </c:pt>
                <c:pt idx="79">
                  <c:v>27.219079810357812</c:v>
                </c:pt>
                <c:pt idx="80">
                  <c:v>27.304403753219844</c:v>
                </c:pt>
                <c:pt idx="81">
                  <c:v>27.378529513738158</c:v>
                </c:pt>
                <c:pt idx="82">
                  <c:v>27.441711033750209</c:v>
                </c:pt>
                <c:pt idx="83">
                  <c:v>27.494173765738708</c:v>
                </c:pt>
                <c:pt idx="84">
                  <c:v>27.536116716543404</c:v>
                </c:pt>
                <c:pt idx="85">
                  <c:v>27.567714169418082</c:v>
                </c:pt>
                <c:pt idx="86">
                  <c:v>27.58911712466022</c:v>
                </c:pt>
                <c:pt idx="87">
                  <c:v>27.600454491008691</c:v>
                </c:pt>
                <c:pt idx="88">
                  <c:v>27.601834053352547</c:v>
                </c:pt>
                <c:pt idx="89">
                  <c:v>27.593343236694182</c:v>
                </c:pt>
                <c:pt idx="90">
                  <c:v>27.575049681495727</c:v>
                </c:pt>
                <c:pt idx="91">
                  <c:v>27.547001641303609</c:v>
                </c:pt>
                <c:pt idx="92">
                  <c:v>27.509228209709136</c:v>
                </c:pt>
                <c:pt idx="93">
                  <c:v>27.46173938011998</c:v>
                </c:pt>
                <c:pt idx="94">
                  <c:v>27.404525938341578</c:v>
                </c:pt>
                <c:pt idx="95">
                  <c:v>27.337559184478778</c:v>
                </c:pt>
                <c:pt idx="96">
                  <c:v>27.260790477020407</c:v>
                </c:pt>
                <c:pt idx="97">
                  <c:v>27.174150588033115</c:v>
                </c:pt>
                <c:pt idx="98">
                  <c:v>27.077548853996518</c:v>
                </c:pt>
                <c:pt idx="99">
                  <c:v>26.970872101769487</c:v>
                </c:pt>
                <c:pt idx="100">
                  <c:v>26.853983323258376</c:v>
                </c:pt>
                <c:pt idx="101">
                  <c:v>26.726720065261816</c:v>
                </c:pt>
                <c:pt idx="102">
                  <c:v>26.588892492323737</c:v>
                </c:pt>
                <c:pt idx="103">
                  <c:v>26.440281069735192</c:v>
                </c:pt>
                <c:pt idx="104">
                  <c:v>26.28063380043784</c:v>
                </c:pt>
                <c:pt idx="105">
                  <c:v>26.109662932609751</c:v>
                </c:pt>
                <c:pt idx="106">
                  <c:v>25.927041032964155</c:v>
                </c:pt>
                <c:pt idx="107">
                  <c:v>25.732396292596491</c:v>
                </c:pt>
                <c:pt idx="108">
                  <c:v>25.52530689527299</c:v>
                </c:pt>
                <c:pt idx="109">
                  <c:v>25.305294229078356</c:v>
                </c:pt>
                <c:pt idx="110">
                  <c:v>25.0718146566428</c:v>
                </c:pt>
                <c:pt idx="111">
                  <c:v>24.824249469894937</c:v>
                </c:pt>
                <c:pt idx="112">
                  <c:v>24.561892532326681</c:v>
                </c:pt>
                <c:pt idx="113">
                  <c:v>24.283934939838275</c:v>
                </c:pt>
                <c:pt idx="114">
                  <c:v>23.989445786997919</c:v>
                </c:pt>
                <c:pt idx="115">
                  <c:v>23.677347772322321</c:v>
                </c:pt>
                <c:pt idx="116">
                  <c:v>23.346385855267044</c:v>
                </c:pt>
                <c:pt idx="117">
                  <c:v>22.995086392455676</c:v>
                </c:pt>
                <c:pt idx="118">
                  <c:v>22.621702968045895</c:v>
                </c:pt>
                <c:pt idx="119">
                  <c:v>22.224143208066153</c:v>
                </c:pt>
                <c:pt idx="120">
                  <c:v>21.799867715350217</c:v>
                </c:pt>
                <c:pt idx="121">
                  <c:v>21.345746907766397</c:v>
                </c:pt>
                <c:pt idx="122">
                  <c:v>20.857852064027668</c:v>
                </c:pt>
                <c:pt idx="123">
                  <c:v>20.331139254933646</c:v>
                </c:pt>
                <c:pt idx="124">
                  <c:v>19.758950070596086</c:v>
                </c:pt>
                <c:pt idx="125">
                  <c:v>19.132179361514943</c:v>
                </c:pt>
                <c:pt idx="126">
                  <c:v>18.437789263774675</c:v>
                </c:pt>
                <c:pt idx="127">
                  <c:v>17.655902913796183</c:v>
                </c:pt>
                <c:pt idx="128">
                  <c:v>16.753346358783347</c:v>
                </c:pt>
                <c:pt idx="129">
                  <c:v>15.666209781569421</c:v>
                </c:pt>
                <c:pt idx="130">
                  <c:v>14.232960682103226</c:v>
                </c:pt>
                <c:pt idx="131">
                  <c:v>11.298829668175415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D39-4440-9FF5-395D9AC8DD4F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10.126700027215406</c:v>
                </c:pt>
                <c:pt idx="50">
                  <c:v>6.5603248177484375</c:v>
                </c:pt>
                <c:pt idx="51">
                  <c:v>4.9581185696497414</c:v>
                </c:pt>
                <c:pt idx="52">
                  <c:v>3.7584410738332394</c:v>
                </c:pt>
                <c:pt idx="53">
                  <c:v>2.7731132685137254</c:v>
                </c:pt>
                <c:pt idx="54">
                  <c:v>1.9281892225999968</c:v>
                </c:pt>
                <c:pt idx="55">
                  <c:v>1.1853279244481314</c:v>
                </c:pt>
                <c:pt idx="56">
                  <c:v>0.52153363396297436</c:v>
                </c:pt>
                <c:pt idx="57">
                  <c:v>-7.8308937728820638E-2</c:v>
                </c:pt>
                <c:pt idx="58">
                  <c:v>-0.62478524136832903</c:v>
                </c:pt>
                <c:pt idx="59">
                  <c:v>-1.1256617354327432</c:v>
                </c:pt>
                <c:pt idx="60">
                  <c:v>-1.5868435073145406</c:v>
                </c:pt>
                <c:pt idx="61">
                  <c:v>-2.0129486822353897</c:v>
                </c:pt>
                <c:pt idx="62">
                  <c:v>-2.4076721401158352</c:v>
                </c:pt>
                <c:pt idx="63">
                  <c:v>-2.7740260877572496</c:v>
                </c:pt>
                <c:pt idx="64">
                  <c:v>-3.1145049984861544</c:v>
                </c:pt>
                <c:pt idx="65">
                  <c:v>-3.4312021535049553</c:v>
                </c:pt>
                <c:pt idx="66">
                  <c:v>-3.7258941221650161</c:v>
                </c:pt>
                <c:pt idx="67">
                  <c:v>-4.000103365844268</c:v>
                </c:pt>
                <c:pt idx="68">
                  <c:v>-4.2551455275309422</c:v>
                </c:pt>
                <c:pt idx="69">
                  <c:v>-4.4921657578892678</c:v>
                </c:pt>
                <c:pt idx="70">
                  <c:v>-4.7121670356624463</c:v>
                </c:pt>
                <c:pt idx="71">
                  <c:v>-4.9160325383170402</c:v>
                </c:pt>
                <c:pt idx="72">
                  <c:v>-5.1045435203421903</c:v>
                </c:pt>
                <c:pt idx="73">
                  <c:v>-5.2783937507203973</c:v>
                </c:pt>
                <c:pt idx="74">
                  <c:v>-5.4382012803563384</c:v>
                </c:pt>
                <c:pt idx="75">
                  <c:v>-5.5845181126039165</c:v>
                </c:pt>
                <c:pt idx="76">
                  <c:v>-5.7178382086232773</c:v>
                </c:pt>
                <c:pt idx="77">
                  <c:v>-5.838604156609847</c:v>
                </c:pt>
                <c:pt idx="78">
                  <c:v>-5.9472127583482575</c:v>
                </c:pt>
                <c:pt idx="79">
                  <c:v>-6.0440197301914509</c:v>
                </c:pt>
                <c:pt idx="80">
                  <c:v>-6.1293436730534836</c:v>
                </c:pt>
                <c:pt idx="81">
                  <c:v>-6.2034694335717404</c:v>
                </c:pt>
                <c:pt idx="82">
                  <c:v>-6.2666509535838486</c:v>
                </c:pt>
                <c:pt idx="83">
                  <c:v>-6.3191136855722903</c:v>
                </c:pt>
                <c:pt idx="84">
                  <c:v>-6.3610566363770431</c:v>
                </c:pt>
                <c:pt idx="85">
                  <c:v>-6.3926540892516641</c:v>
                </c:pt>
                <c:pt idx="86">
                  <c:v>-6.4140570444938589</c:v>
                </c:pt>
                <c:pt idx="87">
                  <c:v>-6.4253944108422729</c:v>
                </c:pt>
                <c:pt idx="88">
                  <c:v>-6.4267739731861866</c:v>
                </c:pt>
                <c:pt idx="89">
                  <c:v>-6.4182831565277638</c:v>
                </c:pt>
                <c:pt idx="90">
                  <c:v>-6.3999896013293665</c:v>
                </c:pt>
                <c:pt idx="91">
                  <c:v>-6.3719415611372483</c:v>
                </c:pt>
                <c:pt idx="92">
                  <c:v>-6.3341681295427748</c:v>
                </c:pt>
                <c:pt idx="93">
                  <c:v>-6.2866792999535619</c:v>
                </c:pt>
                <c:pt idx="94">
                  <c:v>-6.2294658581752174</c:v>
                </c:pt>
                <c:pt idx="95">
                  <c:v>-6.16249910431236</c:v>
                </c:pt>
                <c:pt idx="96">
                  <c:v>-6.0857303968540464</c:v>
                </c:pt>
                <c:pt idx="97">
                  <c:v>-5.9990905078667538</c:v>
                </c:pt>
                <c:pt idx="98">
                  <c:v>-5.9024887738301004</c:v>
                </c:pt>
                <c:pt idx="99">
                  <c:v>-5.7958120216031261</c:v>
                </c:pt>
                <c:pt idx="100">
                  <c:v>-5.6789232430919583</c:v>
                </c:pt>
                <c:pt idx="101">
                  <c:v>-5.551659985095398</c:v>
                </c:pt>
                <c:pt idx="102">
                  <c:v>-5.413832412157376</c:v>
                </c:pt>
                <c:pt idx="103">
                  <c:v>-5.2652209895688316</c:v>
                </c:pt>
                <c:pt idx="104">
                  <c:v>-5.1055737202714795</c:v>
                </c:pt>
                <c:pt idx="105">
                  <c:v>-4.9346028524433905</c:v>
                </c:pt>
                <c:pt idx="106">
                  <c:v>-4.7519809527977372</c:v>
                </c:pt>
                <c:pt idx="107">
                  <c:v>-4.5573362124300729</c:v>
                </c:pt>
                <c:pt idx="108">
                  <c:v>-4.3502468151065727</c:v>
                </c:pt>
                <c:pt idx="109">
                  <c:v>-4.1302341489119954</c:v>
                </c:pt>
                <c:pt idx="110">
                  <c:v>-3.8967545764763827</c:v>
                </c:pt>
                <c:pt idx="111">
                  <c:v>-3.6491893897285195</c:v>
                </c:pt>
                <c:pt idx="112">
                  <c:v>-3.3868324521603199</c:v>
                </c:pt>
                <c:pt idx="113">
                  <c:v>-3.1088748596719142</c:v>
                </c:pt>
                <c:pt idx="114">
                  <c:v>-2.8143857068315583</c:v>
                </c:pt>
                <c:pt idx="115">
                  <c:v>-2.5022876921559032</c:v>
                </c:pt>
                <c:pt idx="116">
                  <c:v>-2.1713257751006836</c:v>
                </c:pt>
                <c:pt idx="117">
                  <c:v>-1.8200263122893148</c:v>
                </c:pt>
                <c:pt idx="118">
                  <c:v>-1.4466428878795341</c:v>
                </c:pt>
                <c:pt idx="119">
                  <c:v>-1.0490831278997916</c:v>
                </c:pt>
                <c:pt idx="120">
                  <c:v>-0.62480763518385629</c:v>
                </c:pt>
                <c:pt idx="121">
                  <c:v>-0.17068682760003639</c:v>
                </c:pt>
                <c:pt idx="122">
                  <c:v>0.31720801613874983</c:v>
                </c:pt>
                <c:pt idx="123">
                  <c:v>0.84392082523277168</c:v>
                </c:pt>
                <c:pt idx="124">
                  <c:v>1.4161100095703318</c:v>
                </c:pt>
                <c:pt idx="125">
                  <c:v>2.0428807186514177</c:v>
                </c:pt>
                <c:pt idx="126">
                  <c:v>2.7372708163917423</c:v>
                </c:pt>
                <c:pt idx="127">
                  <c:v>3.5191571663702348</c:v>
                </c:pt>
                <c:pt idx="128">
                  <c:v>4.4217137213830711</c:v>
                </c:pt>
                <c:pt idx="129">
                  <c:v>5.5088502985969967</c:v>
                </c:pt>
                <c:pt idx="130">
                  <c:v>6.942099398063192</c:v>
                </c:pt>
                <c:pt idx="131">
                  <c:v>9.8762304119909459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D39-4440-9FF5-395D9AC8DD4F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266B-984A-9427-8888F6823915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266B-984A-9427-8888F68239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19.572669225930063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  <c:pt idx="186">
                  <c:v>35.79416151671569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66B-984A-9427-8888F6823915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6B5-A94A-9BEA-36F714C62772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16B5-A94A-9BEA-36F714C62772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55.928420254359253</c:v>
                </c:pt>
                <c:pt idx="188" formatCode="0.00_ ;[Red]\-0.00\ ">
                  <c:v>10.587530040083209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56.214284919562225</c:v>
                </c:pt>
                <c:pt idx="1">
                  <c:v>56.214284919562225</c:v>
                </c:pt>
                <c:pt idx="2">
                  <c:v>55.88780241142296</c:v>
                </c:pt>
                <c:pt idx="3">
                  <c:v>55.504510882555373</c:v>
                </c:pt>
                <c:pt idx="4">
                  <c:v>55.121219353687785</c:v>
                </c:pt>
                <c:pt idx="5">
                  <c:v>54.737927824820197</c:v>
                </c:pt>
                <c:pt idx="6">
                  <c:v>54.354636295952609</c:v>
                </c:pt>
                <c:pt idx="7">
                  <c:v>53.971344767085021</c:v>
                </c:pt>
                <c:pt idx="8">
                  <c:v>53.588053238217434</c:v>
                </c:pt>
                <c:pt idx="9">
                  <c:v>53.204761709349846</c:v>
                </c:pt>
                <c:pt idx="10">
                  <c:v>52.821470180482258</c:v>
                </c:pt>
                <c:pt idx="11">
                  <c:v>52.43817865161467</c:v>
                </c:pt>
                <c:pt idx="12">
                  <c:v>52.054887122747083</c:v>
                </c:pt>
                <c:pt idx="13">
                  <c:v>51.671595593879495</c:v>
                </c:pt>
                <c:pt idx="14">
                  <c:v>51.288304065011907</c:v>
                </c:pt>
                <c:pt idx="15">
                  <c:v>50.905012536144319</c:v>
                </c:pt>
                <c:pt idx="16">
                  <c:v>50.521721007276732</c:v>
                </c:pt>
                <c:pt idx="17">
                  <c:v>50.138429478409144</c:v>
                </c:pt>
                <c:pt idx="18">
                  <c:v>49.755137949541556</c:v>
                </c:pt>
                <c:pt idx="19">
                  <c:v>49.371846420673968</c:v>
                </c:pt>
                <c:pt idx="20">
                  <c:v>48.98855489180638</c:v>
                </c:pt>
                <c:pt idx="21">
                  <c:v>48.605263362938793</c:v>
                </c:pt>
                <c:pt idx="22">
                  <c:v>48.221971834071205</c:v>
                </c:pt>
                <c:pt idx="23">
                  <c:v>47.838680305203617</c:v>
                </c:pt>
                <c:pt idx="24">
                  <c:v>47.455388776336029</c:v>
                </c:pt>
                <c:pt idx="25">
                  <c:v>47.072097247468442</c:v>
                </c:pt>
                <c:pt idx="26">
                  <c:v>46.688805718600854</c:v>
                </c:pt>
                <c:pt idx="27">
                  <c:v>46.305514189733266</c:v>
                </c:pt>
                <c:pt idx="28">
                  <c:v>45.922222660865678</c:v>
                </c:pt>
                <c:pt idx="29">
                  <c:v>45.538931131998091</c:v>
                </c:pt>
                <c:pt idx="30">
                  <c:v>45.155639603130503</c:v>
                </c:pt>
                <c:pt idx="31">
                  <c:v>44.772348074262915</c:v>
                </c:pt>
                <c:pt idx="32">
                  <c:v>44.389056545395327</c:v>
                </c:pt>
                <c:pt idx="33">
                  <c:v>44.005765016527739</c:v>
                </c:pt>
                <c:pt idx="34">
                  <c:v>43.622473487660152</c:v>
                </c:pt>
                <c:pt idx="35">
                  <c:v>43.239181958792564</c:v>
                </c:pt>
                <c:pt idx="36">
                  <c:v>42.855890429924976</c:v>
                </c:pt>
                <c:pt idx="37">
                  <c:v>42.472598901057388</c:v>
                </c:pt>
                <c:pt idx="38">
                  <c:v>42.089307372189801</c:v>
                </c:pt>
                <c:pt idx="39">
                  <c:v>41.706015843322213</c:v>
                </c:pt>
                <c:pt idx="40">
                  <c:v>41.322724314454625</c:v>
                </c:pt>
                <c:pt idx="41">
                  <c:v>40.939432785587037</c:v>
                </c:pt>
                <c:pt idx="42">
                  <c:v>40.556141256719449</c:v>
                </c:pt>
                <c:pt idx="43">
                  <c:v>40.172849727851862</c:v>
                </c:pt>
                <c:pt idx="44">
                  <c:v>39.789558198984274</c:v>
                </c:pt>
                <c:pt idx="45">
                  <c:v>39.406266670116686</c:v>
                </c:pt>
                <c:pt idx="46">
                  <c:v>39.022975141249098</c:v>
                </c:pt>
                <c:pt idx="47">
                  <c:v>38.639683612381511</c:v>
                </c:pt>
                <c:pt idx="48">
                  <c:v>38.256392083513923</c:v>
                </c:pt>
                <c:pt idx="49">
                  <c:v>37.873100554646335</c:v>
                </c:pt>
                <c:pt idx="50">
                  <c:v>37.489809025778747</c:v>
                </c:pt>
                <c:pt idx="51">
                  <c:v>37.10651749691116</c:v>
                </c:pt>
                <c:pt idx="52">
                  <c:v>36.723225968043572</c:v>
                </c:pt>
                <c:pt idx="53">
                  <c:v>36.339934439175984</c:v>
                </c:pt>
                <c:pt idx="54">
                  <c:v>35.956642910308396</c:v>
                </c:pt>
                <c:pt idx="55">
                  <c:v>35.573351381440808</c:v>
                </c:pt>
                <c:pt idx="56">
                  <c:v>35.190059852573221</c:v>
                </c:pt>
                <c:pt idx="57">
                  <c:v>34.806768323705633</c:v>
                </c:pt>
                <c:pt idx="58">
                  <c:v>34.423476794838045</c:v>
                </c:pt>
                <c:pt idx="59">
                  <c:v>34.040185265970457</c:v>
                </c:pt>
                <c:pt idx="60">
                  <c:v>33.65689373710287</c:v>
                </c:pt>
                <c:pt idx="61">
                  <c:v>33.273602208235282</c:v>
                </c:pt>
                <c:pt idx="62">
                  <c:v>32.890310679367694</c:v>
                </c:pt>
                <c:pt idx="63">
                  <c:v>32.507019150500106</c:v>
                </c:pt>
                <c:pt idx="64">
                  <c:v>32.123727621632518</c:v>
                </c:pt>
                <c:pt idx="65">
                  <c:v>31.740436092764931</c:v>
                </c:pt>
                <c:pt idx="66">
                  <c:v>31.357144563897343</c:v>
                </c:pt>
                <c:pt idx="67">
                  <c:v>30.973853035029755</c:v>
                </c:pt>
                <c:pt idx="68">
                  <c:v>30.590561506162167</c:v>
                </c:pt>
                <c:pt idx="69">
                  <c:v>30.20726997729458</c:v>
                </c:pt>
                <c:pt idx="70">
                  <c:v>29.823978448426992</c:v>
                </c:pt>
                <c:pt idx="71">
                  <c:v>29.440686919559404</c:v>
                </c:pt>
                <c:pt idx="72">
                  <c:v>29.057395390691816</c:v>
                </c:pt>
                <c:pt idx="73">
                  <c:v>28.674103861824229</c:v>
                </c:pt>
                <c:pt idx="74">
                  <c:v>28.290812332956641</c:v>
                </c:pt>
                <c:pt idx="75">
                  <c:v>27.907520804089053</c:v>
                </c:pt>
                <c:pt idx="76">
                  <c:v>27.524229275221465</c:v>
                </c:pt>
                <c:pt idx="77">
                  <c:v>27.140937746353877</c:v>
                </c:pt>
                <c:pt idx="78">
                  <c:v>26.75764621748629</c:v>
                </c:pt>
                <c:pt idx="79">
                  <c:v>26.374354688618702</c:v>
                </c:pt>
                <c:pt idx="80">
                  <c:v>25.991063159751114</c:v>
                </c:pt>
                <c:pt idx="81">
                  <c:v>25.607771630883526</c:v>
                </c:pt>
                <c:pt idx="82">
                  <c:v>25.224480102015939</c:v>
                </c:pt>
                <c:pt idx="83">
                  <c:v>24.841188573148351</c:v>
                </c:pt>
                <c:pt idx="84">
                  <c:v>24.457897044280763</c:v>
                </c:pt>
                <c:pt idx="85">
                  <c:v>24.074605515413175</c:v>
                </c:pt>
                <c:pt idx="86">
                  <c:v>23.691313986545588</c:v>
                </c:pt>
                <c:pt idx="87">
                  <c:v>23.308022457678</c:v>
                </c:pt>
                <c:pt idx="88">
                  <c:v>22.924730928810412</c:v>
                </c:pt>
                <c:pt idx="89">
                  <c:v>22.541439399942824</c:v>
                </c:pt>
                <c:pt idx="90">
                  <c:v>22.158147871075236</c:v>
                </c:pt>
                <c:pt idx="91">
                  <c:v>21.774856342207649</c:v>
                </c:pt>
                <c:pt idx="92">
                  <c:v>21.391564813340061</c:v>
                </c:pt>
                <c:pt idx="93">
                  <c:v>21.008273284472473</c:v>
                </c:pt>
                <c:pt idx="94">
                  <c:v>20.624981755604885</c:v>
                </c:pt>
                <c:pt idx="95">
                  <c:v>20.241690226737298</c:v>
                </c:pt>
                <c:pt idx="96">
                  <c:v>19.85839869786971</c:v>
                </c:pt>
                <c:pt idx="97">
                  <c:v>19.475107169002122</c:v>
                </c:pt>
                <c:pt idx="98">
                  <c:v>19.091815640134534</c:v>
                </c:pt>
                <c:pt idx="99">
                  <c:v>18.708524111266946</c:v>
                </c:pt>
                <c:pt idx="100">
                  <c:v>18.325232582399359</c:v>
                </c:pt>
                <c:pt idx="101">
                  <c:v>17.941941053531771</c:v>
                </c:pt>
                <c:pt idx="102">
                  <c:v>17.558649524664183</c:v>
                </c:pt>
                <c:pt idx="103">
                  <c:v>17.175357995796595</c:v>
                </c:pt>
                <c:pt idx="104">
                  <c:v>16.792066466929008</c:v>
                </c:pt>
                <c:pt idx="105">
                  <c:v>16.40877493806142</c:v>
                </c:pt>
                <c:pt idx="106">
                  <c:v>16.025483409193832</c:v>
                </c:pt>
                <c:pt idx="107">
                  <c:v>15.642191880326244</c:v>
                </c:pt>
                <c:pt idx="108">
                  <c:v>15.258900351458657</c:v>
                </c:pt>
                <c:pt idx="109">
                  <c:v>14.875608822591069</c:v>
                </c:pt>
                <c:pt idx="110">
                  <c:v>14.492317293723481</c:v>
                </c:pt>
                <c:pt idx="111">
                  <c:v>14.109025764855893</c:v>
                </c:pt>
                <c:pt idx="112">
                  <c:v>13.725734235988305</c:v>
                </c:pt>
                <c:pt idx="113">
                  <c:v>13.342442707120718</c:v>
                </c:pt>
                <c:pt idx="114">
                  <c:v>12.95915117825313</c:v>
                </c:pt>
                <c:pt idx="115">
                  <c:v>12.575859649385542</c:v>
                </c:pt>
                <c:pt idx="116">
                  <c:v>12.192568120517954</c:v>
                </c:pt>
                <c:pt idx="117">
                  <c:v>11.809276591650367</c:v>
                </c:pt>
                <c:pt idx="118">
                  <c:v>11.425985062782779</c:v>
                </c:pt>
                <c:pt idx="119">
                  <c:v>11.042693533915191</c:v>
                </c:pt>
                <c:pt idx="120">
                  <c:v>10.659402005047603</c:v>
                </c:pt>
                <c:pt idx="121">
                  <c:v>10.276110476180015</c:v>
                </c:pt>
                <c:pt idx="122">
                  <c:v>9.8928189473124277</c:v>
                </c:pt>
                <c:pt idx="123">
                  <c:v>9.50952741844484</c:v>
                </c:pt>
                <c:pt idx="124">
                  <c:v>9.1262358895772522</c:v>
                </c:pt>
                <c:pt idx="125">
                  <c:v>8.7429443607096644</c:v>
                </c:pt>
                <c:pt idx="126">
                  <c:v>8.3596528318420766</c:v>
                </c:pt>
                <c:pt idx="127">
                  <c:v>7.976361302974488</c:v>
                </c:pt>
                <c:pt idx="128">
                  <c:v>7.5930697741068993</c:v>
                </c:pt>
                <c:pt idx="129">
                  <c:v>7.2097782452393107</c:v>
                </c:pt>
                <c:pt idx="130">
                  <c:v>6.826486716371722</c:v>
                </c:pt>
                <c:pt idx="131">
                  <c:v>6.4431951875041333</c:v>
                </c:pt>
                <c:pt idx="132">
                  <c:v>6.0599036586365447</c:v>
                </c:pt>
                <c:pt idx="133">
                  <c:v>5.676612129768956</c:v>
                </c:pt>
                <c:pt idx="134">
                  <c:v>5.2933206009013674</c:v>
                </c:pt>
                <c:pt idx="135">
                  <c:v>4.9100290720337787</c:v>
                </c:pt>
                <c:pt idx="136">
                  <c:v>4.52673754316619</c:v>
                </c:pt>
                <c:pt idx="137">
                  <c:v>4.1434460142986014</c:v>
                </c:pt>
                <c:pt idx="138">
                  <c:v>3.7601544854310132</c:v>
                </c:pt>
                <c:pt idx="139">
                  <c:v>3.3768629565634249</c:v>
                </c:pt>
                <c:pt idx="140">
                  <c:v>2.9935714276958367</c:v>
                </c:pt>
                <c:pt idx="141">
                  <c:v>2.6102798988282485</c:v>
                </c:pt>
                <c:pt idx="142">
                  <c:v>2.2269883699606603</c:v>
                </c:pt>
                <c:pt idx="143">
                  <c:v>1.8436968410930721</c:v>
                </c:pt>
                <c:pt idx="144">
                  <c:v>1.4604053122254839</c:v>
                </c:pt>
                <c:pt idx="145">
                  <c:v>1.0771137833578956</c:v>
                </c:pt>
                <c:pt idx="146">
                  <c:v>0.69382225449030743</c:v>
                </c:pt>
                <c:pt idx="147">
                  <c:v>0.31053072562271916</c:v>
                </c:pt>
                <c:pt idx="148">
                  <c:v>-7.276080324486911E-2</c:v>
                </c:pt>
                <c:pt idx="149">
                  <c:v>-0.45605233211245738</c:v>
                </c:pt>
                <c:pt idx="150">
                  <c:v>-0.83934386098004565</c:v>
                </c:pt>
                <c:pt idx="151">
                  <c:v>-1.2226353898476339</c:v>
                </c:pt>
                <c:pt idx="152">
                  <c:v>-1.6059269187152221</c:v>
                </c:pt>
                <c:pt idx="153">
                  <c:v>-1.9892184475828103</c:v>
                </c:pt>
                <c:pt idx="154">
                  <c:v>-2.3725099764503987</c:v>
                </c:pt>
                <c:pt idx="155">
                  <c:v>-2.755801505317987</c:v>
                </c:pt>
                <c:pt idx="156">
                  <c:v>-3.1390930341855752</c:v>
                </c:pt>
                <c:pt idx="157">
                  <c:v>-3.5223845630531634</c:v>
                </c:pt>
                <c:pt idx="158">
                  <c:v>-3.9056760919207516</c:v>
                </c:pt>
                <c:pt idx="159">
                  <c:v>-4.2889676207883403</c:v>
                </c:pt>
                <c:pt idx="160">
                  <c:v>-4.6722591496559289</c:v>
                </c:pt>
                <c:pt idx="161">
                  <c:v>-5.0555506785235176</c:v>
                </c:pt>
                <c:pt idx="162">
                  <c:v>-5.4388422073911062</c:v>
                </c:pt>
                <c:pt idx="163">
                  <c:v>-5.8221337362586949</c:v>
                </c:pt>
                <c:pt idx="164">
                  <c:v>-6.2054252651262836</c:v>
                </c:pt>
                <c:pt idx="165">
                  <c:v>-6.5887167939938722</c:v>
                </c:pt>
                <c:pt idx="166">
                  <c:v>-6.9720083228614609</c:v>
                </c:pt>
                <c:pt idx="167">
                  <c:v>-7.3552998517290495</c:v>
                </c:pt>
                <c:pt idx="168">
                  <c:v>-7.7385913805966382</c:v>
                </c:pt>
                <c:pt idx="169">
                  <c:v>-8.121882909464226</c:v>
                </c:pt>
                <c:pt idx="170">
                  <c:v>-8.5051744383318137</c:v>
                </c:pt>
                <c:pt idx="171">
                  <c:v>-8.8884659671994015</c:v>
                </c:pt>
                <c:pt idx="172">
                  <c:v>-9.2717574960669893</c:v>
                </c:pt>
                <c:pt idx="173">
                  <c:v>-9.6550490249345771</c:v>
                </c:pt>
                <c:pt idx="174">
                  <c:v>-10.038340553802165</c:v>
                </c:pt>
                <c:pt idx="175">
                  <c:v>-10.421632082669753</c:v>
                </c:pt>
                <c:pt idx="176">
                  <c:v>-10.80492361153734</c:v>
                </c:pt>
                <c:pt idx="177">
                  <c:v>-11.188215140404928</c:v>
                </c:pt>
                <c:pt idx="178">
                  <c:v>-11.571506669272516</c:v>
                </c:pt>
                <c:pt idx="179">
                  <c:v>-11.941054662610044</c:v>
                </c:pt>
                <c:pt idx="180">
                  <c:v>-11.941054662610044</c:v>
                </c:pt>
                <c:pt idx="181">
                  <c:v>-11.941054662610044</c:v>
                </c:pt>
                <c:pt idx="182">
                  <c:v>-11.941054662610044</c:v>
                </c:pt>
                <c:pt idx="183">
                  <c:v>-11.941054662610044</c:v>
                </c:pt>
                <c:pt idx="184">
                  <c:v>-11.941054662610044</c:v>
                </c:pt>
                <c:pt idx="185">
                  <c:v>-11.941054662610044</c:v>
                </c:pt>
                <c:pt idx="186">
                  <c:v>35.79416151671569</c:v>
                </c:pt>
                <c:pt idx="187" formatCode="0.00_ ;[Red]\-0.00\ ">
                  <c:v>22.136615128476091</c:v>
                </c:pt>
                <c:pt idx="188" formatCode="0.00_ ;[Red]\-0.00\ ">
                  <c:v>22.153147871075191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6B5-A94A-9BEA-36F714C62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rgbClr val="C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381000</xdr:colOff>
      <xdr:row>1</xdr:row>
      <xdr:rowOff>63500</xdr:rowOff>
    </xdr:from>
    <xdr:to>
      <xdr:col>7</xdr:col>
      <xdr:colOff>493825</xdr:colOff>
      <xdr:row>4</xdr:row>
      <xdr:rowOff>88900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CA7B08F1-3110-6A43-8553-DD309287C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65600" y="266700"/>
          <a:ext cx="1306625" cy="914400"/>
        </a:xfrm>
        <a:prstGeom prst="rect">
          <a:avLst/>
        </a:prstGeom>
      </xdr:spPr>
    </xdr:pic>
    <xdr:clientData/>
  </xdr:twoCellAnchor>
  <xdr:twoCellAnchor>
    <xdr:from>
      <xdr:col>1</xdr:col>
      <xdr:colOff>12700</xdr:colOff>
      <xdr:row>55</xdr:row>
      <xdr:rowOff>88900</xdr:rowOff>
    </xdr:from>
    <xdr:to>
      <xdr:col>8</xdr:col>
      <xdr:colOff>0</xdr:colOff>
      <xdr:row>79</xdr:row>
      <xdr:rowOff>50800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A96D70E7-21FE-3A47-B86F-0350271589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12700</xdr:colOff>
      <xdr:row>36</xdr:row>
      <xdr:rowOff>0</xdr:rowOff>
    </xdr:from>
    <xdr:to>
      <xdr:col>8</xdr:col>
      <xdr:colOff>0</xdr:colOff>
      <xdr:row>52</xdr:row>
      <xdr:rowOff>12700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FC1CD08C-96C1-8F44-94C8-3C6F0CAE1A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0.49201</cdr:x>
      <cdr:y>0.86162</cdr:y>
    </cdr:from>
    <cdr:to>
      <cdr:x>0.59077</cdr:x>
      <cdr:y>0.92133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574385" y="4169124"/>
          <a:ext cx="516752" cy="2889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0.48586</cdr:x>
      <cdr:y>0.02557</cdr:y>
    </cdr:from>
    <cdr:to>
      <cdr:x>0.57039</cdr:x>
      <cdr:y>0.12073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542191" y="123729"/>
          <a:ext cx="442309" cy="4604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0.86558</cdr:x>
      <cdr:y>0.4175</cdr:y>
    </cdr:from>
    <cdr:to>
      <cdr:x>0.96434</cdr:x>
      <cdr:y>0.47722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529038" y="2020138"/>
          <a:ext cx="516752" cy="2889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0.12034</cdr:x>
      <cdr:y>0.41479</cdr:y>
    </cdr:from>
    <cdr:to>
      <cdr:x>0.2191</cdr:x>
      <cdr:y>0.47451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29682" y="2007028"/>
          <a:ext cx="516752" cy="2889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0.88608</cdr:x>
      <cdr:y>0.40639</cdr:y>
    </cdr:from>
    <cdr:to>
      <cdr:x>0.98484</cdr:x>
      <cdr:y>0.45416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636340" y="1326428"/>
          <a:ext cx="516752" cy="1559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0.51054</cdr:x>
      <cdr:y>0.00537</cdr:y>
    </cdr:from>
    <cdr:to>
      <cdr:x>0.6093</cdr:x>
      <cdr:y>0.05314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2671351" y="17536"/>
          <a:ext cx="516752" cy="1559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0.09448</cdr:x>
      <cdr:y>0.40628</cdr:y>
    </cdr:from>
    <cdr:to>
      <cdr:x>0.19324</cdr:x>
      <cdr:y>0.45405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94342" y="1326069"/>
          <a:ext cx="516752" cy="1559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0.51252</cdr:x>
      <cdr:y>0.87546</cdr:y>
    </cdr:from>
    <cdr:to>
      <cdr:x>0.61128</cdr:x>
      <cdr:y>0.93271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2681703" y="2857400"/>
          <a:ext cx="516752" cy="1868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0.23938</cdr:x>
      <cdr:y>0.4156</cdr:y>
    </cdr:from>
    <cdr:to>
      <cdr:x>0.4166</cdr:x>
      <cdr:y>0.45264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1289029" y="1338884"/>
          <a:ext cx="954295" cy="119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4</xdr:row>
      <xdr:rowOff>0</xdr:rowOff>
    </xdr:from>
    <xdr:to>
      <xdr:col>8</xdr:col>
      <xdr:colOff>0</xdr:colOff>
      <xdr:row>31</xdr:row>
      <xdr:rowOff>12700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B4F5AAF-3A85-3C4E-A6E4-FED0AF842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2</xdr:row>
      <xdr:rowOff>127000</xdr:rowOff>
    </xdr:from>
    <xdr:to>
      <xdr:col>10</xdr:col>
      <xdr:colOff>723900</xdr:colOff>
      <xdr:row>27</xdr:row>
      <xdr:rowOff>101600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1BCAB90-EC4B-6848-996B-A9004E778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0.88851</cdr:x>
      <cdr:y>0.42974</cdr:y>
    </cdr:from>
    <cdr:to>
      <cdr:x>0.98727</cdr:x>
      <cdr:y>0.47751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176667" y="2226754"/>
          <a:ext cx="797705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0.49355</cdr:x>
      <cdr:y>0.03261</cdr:y>
    </cdr:from>
    <cdr:to>
      <cdr:x>0.59231</cdr:x>
      <cdr:y>0.08038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099303" y="168972"/>
          <a:ext cx="820281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0.09205</cdr:x>
      <cdr:y>0.42963</cdr:y>
    </cdr:from>
    <cdr:to>
      <cdr:x>0.19081</cdr:x>
      <cdr:y>0.4774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43469" y="2226184"/>
          <a:ext cx="797704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0.50281</cdr:x>
      <cdr:y>0.89102</cdr:y>
    </cdr:from>
    <cdr:to>
      <cdr:x>0.60157</cdr:x>
      <cdr:y>0.94827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4176275" y="4616923"/>
          <a:ext cx="820281" cy="296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0.23938</cdr:x>
      <cdr:y>0.4156</cdr:y>
    </cdr:from>
    <cdr:to>
      <cdr:x>0.4166</cdr:x>
      <cdr:y>0.45264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1289029" y="1338884"/>
          <a:ext cx="954295" cy="119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11C1-6476-9748-8E8F-8F37BC682E30}">
  <dimension ref="A1:AG92"/>
  <sheetViews>
    <sheetView tabSelected="1" zoomScaleNormal="100" workbookViewId="0">
      <selection activeCell="G12" sqref="G12:H12"/>
    </sheetView>
  </sheetViews>
  <sheetFormatPr baseColWidth="10" defaultRowHeight="16"/>
  <cols>
    <col min="1" max="1" width="4.33203125" customWidth="1"/>
    <col min="2" max="2" width="25.33203125" customWidth="1"/>
    <col min="3" max="4" width="7.83203125" customWidth="1"/>
    <col min="5" max="5" width="4.33203125" customWidth="1"/>
    <col min="6" max="8" width="7.83203125" customWidth="1"/>
    <col min="9" max="10" width="4.33203125" customWidth="1"/>
    <col min="11" max="17" width="10.83203125" customWidth="1"/>
    <col min="20" max="22" width="10.83203125" customWidth="1"/>
    <col min="23" max="23" width="11.83203125" customWidth="1"/>
    <col min="24" max="24" width="4.33203125" customWidth="1"/>
    <col min="25" max="25" width="12.1640625" bestFit="1" customWidth="1"/>
    <col min="27" max="27" width="10.83203125" customWidth="1"/>
  </cols>
  <sheetData>
    <row r="1" spans="1:24">
      <c r="A1" s="3"/>
      <c r="B1" s="3"/>
      <c r="C1" s="3"/>
      <c r="D1" s="3"/>
      <c r="E1" s="3"/>
      <c r="F1" s="3"/>
      <c r="G1" s="3"/>
      <c r="H1" s="13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11"/>
    </row>
    <row r="2" spans="1:24" ht="27">
      <c r="A2" s="3"/>
      <c r="B2" s="123" t="s">
        <v>123</v>
      </c>
      <c r="C2" s="4"/>
      <c r="D2" s="4"/>
      <c r="E2" s="3"/>
      <c r="F2" s="3"/>
      <c r="G2" s="3"/>
      <c r="H2" s="3"/>
      <c r="I2" s="1"/>
      <c r="J2" s="1"/>
      <c r="K2" s="221" t="s">
        <v>118</v>
      </c>
      <c r="L2" s="223"/>
      <c r="M2" s="222"/>
      <c r="N2" s="5"/>
      <c r="O2" s="5"/>
      <c r="S2" s="59"/>
      <c r="T2" s="5"/>
      <c r="U2" s="5"/>
      <c r="V2" s="5"/>
      <c r="W2" s="5"/>
      <c r="X2" s="11"/>
    </row>
    <row r="3" spans="1:24">
      <c r="A3" s="3"/>
      <c r="B3" s="3" t="s">
        <v>124</v>
      </c>
      <c r="C3" s="3"/>
      <c r="D3" s="3"/>
      <c r="E3" s="3"/>
      <c r="F3" s="3"/>
      <c r="G3" s="3"/>
      <c r="H3" s="3"/>
      <c r="I3" s="1"/>
      <c r="J3" s="1"/>
      <c r="M3" s="42"/>
      <c r="N3" s="42"/>
      <c r="O3" s="42"/>
      <c r="P3" s="42"/>
      <c r="Q3" s="42"/>
      <c r="R3" s="42"/>
      <c r="S3" s="42"/>
      <c r="T3" s="42"/>
      <c r="U3" s="234"/>
      <c r="V3" s="42"/>
      <c r="W3" s="42"/>
      <c r="X3" s="11"/>
    </row>
    <row r="4" spans="1:24" ht="27">
      <c r="A4" s="3"/>
      <c r="B4" s="3"/>
      <c r="C4" s="3"/>
      <c r="D4" s="53"/>
      <c r="E4" s="3"/>
      <c r="F4" s="54"/>
      <c r="G4" s="54"/>
      <c r="H4" s="3"/>
      <c r="I4" s="1"/>
      <c r="J4" s="1"/>
      <c r="K4" s="1"/>
      <c r="L4" s="1"/>
      <c r="M4" s="1"/>
      <c r="N4" s="1"/>
      <c r="O4" s="1"/>
      <c r="X4" s="11"/>
    </row>
    <row r="5" spans="1:24" ht="20" thickBot="1">
      <c r="A5" s="6"/>
      <c r="B5" s="8" t="s">
        <v>47</v>
      </c>
      <c r="C5" s="37"/>
      <c r="D5" s="38"/>
      <c r="E5" s="38"/>
      <c r="F5" s="15"/>
      <c r="G5" s="15"/>
      <c r="H5" s="43" t="str">
        <f>IF(OR(AND(H6="O",OR(H7="O",H7="U")),AND(H6="U",OR(H7="O",H7="U")))=TRUE," ","ERROR")</f>
        <v xml:space="preserve"> </v>
      </c>
      <c r="I5" s="11"/>
      <c r="J5" s="11"/>
      <c r="Q5" s="11"/>
      <c r="T5" s="6"/>
      <c r="U5" s="39"/>
      <c r="V5" s="6"/>
      <c r="W5" s="11"/>
      <c r="X5" s="11"/>
    </row>
    <row r="6" spans="1:24">
      <c r="A6" s="3"/>
      <c r="B6" s="19" t="s">
        <v>4</v>
      </c>
      <c r="C6" s="27">
        <v>-1.2</v>
      </c>
      <c r="D6" s="301" t="s">
        <v>81</v>
      </c>
      <c r="E6" s="302"/>
      <c r="F6" s="302"/>
      <c r="G6" s="303"/>
      <c r="H6" s="30" t="s">
        <v>8</v>
      </c>
      <c r="I6" s="1"/>
      <c r="J6" s="1"/>
      <c r="K6" s="246"/>
      <c r="L6" s="247" t="s">
        <v>120</v>
      </c>
      <c r="M6" s="247" t="s">
        <v>99</v>
      </c>
      <c r="N6" s="247" t="s">
        <v>100</v>
      </c>
      <c r="O6" s="247" t="s">
        <v>121</v>
      </c>
      <c r="P6" s="247" t="s">
        <v>101</v>
      </c>
      <c r="Q6" s="248" t="s">
        <v>6</v>
      </c>
      <c r="R6" s="237"/>
      <c r="S6" s="237"/>
      <c r="T6" s="1"/>
      <c r="X6" s="11"/>
    </row>
    <row r="7" spans="1:24" ht="17" thickBot="1">
      <c r="A7" s="3"/>
      <c r="B7" s="20" t="s">
        <v>5</v>
      </c>
      <c r="C7" s="28">
        <v>-1.2</v>
      </c>
      <c r="D7" s="304" t="s">
        <v>82</v>
      </c>
      <c r="E7" s="305"/>
      <c r="F7" s="305"/>
      <c r="G7" s="306"/>
      <c r="H7" s="31" t="s">
        <v>8</v>
      </c>
      <c r="I7" s="1"/>
      <c r="J7" s="1"/>
      <c r="K7" s="242" t="s">
        <v>102</v>
      </c>
      <c r="L7" s="243">
        <f>G14+H14/60</f>
        <v>55.723333333333336</v>
      </c>
      <c r="M7" s="244">
        <f>16-(55*TAN(RADIANS(90-L7))/60-55/1000*(TAN(RADIANS(90-L7)))^3/60+1.777*SQRT(G8))</f>
        <v>12.739812534831888</v>
      </c>
      <c r="N7" s="245">
        <f>IF(H6="U",DGET(K20:L32,2,L33:L34),IF(H6="O",-(32+DGET(K20:L32,2,L33:L34)),#N/A))</f>
        <v>-0.2</v>
      </c>
      <c r="O7" s="245">
        <f>C6</f>
        <v>-1.2</v>
      </c>
      <c r="P7" s="293">
        <f>L7+(M7+N7+O7)/60</f>
        <v>55.912330208913865</v>
      </c>
      <c r="Q7" s="294">
        <f>RADIANS(P7)</f>
        <v>0.97585425460783592</v>
      </c>
      <c r="T7" s="1"/>
      <c r="X7" s="11"/>
    </row>
    <row r="8" spans="1:24" ht="17" thickBot="1">
      <c r="A8" s="3"/>
      <c r="B8" s="29" t="s">
        <v>54</v>
      </c>
      <c r="C8" s="235" t="s">
        <v>85</v>
      </c>
      <c r="D8" s="315" t="s">
        <v>89</v>
      </c>
      <c r="E8" s="316"/>
      <c r="F8" s="317"/>
      <c r="G8" s="32">
        <v>2.2000000000000002</v>
      </c>
      <c r="H8" s="41" t="s">
        <v>84</v>
      </c>
      <c r="I8" s="1"/>
      <c r="J8" s="1"/>
      <c r="K8" s="238" t="s">
        <v>103</v>
      </c>
      <c r="L8" s="239">
        <f>G22+H22/60</f>
        <v>74.08</v>
      </c>
      <c r="M8" s="240">
        <f>IF((16-(55*TAN(RADIANS(90-L8))/60-55/1000*(TAN(RADIANS(90-L8)))^3/60+1.777*SQRT(G8)))&lt;33,16-(55*TAN(RADIANS(90-L8))/60-55/1000*(TAN(RADIANS(90-L8)))^3/60+1.777*SQRT(G8)),0)</f>
        <v>13.102838985732964</v>
      </c>
      <c r="N8" s="241">
        <f>IF(H7="U",DGET(K20:L32,2,L33:L34),IF(H7="O",-(32+DGET(K20:L32,2,L33:L34))&gt;33,#N/A))</f>
        <v>-0.2</v>
      </c>
      <c r="O8" s="241">
        <f>C7</f>
        <v>-1.2</v>
      </c>
      <c r="P8" s="295">
        <f>L8+(M8+N8+O8)/60</f>
        <v>74.275047316428882</v>
      </c>
      <c r="Q8" s="296">
        <f>IF(M8=0,1/0,RADIANS(P8))</f>
        <v>1.2963441277462626</v>
      </c>
      <c r="T8" s="1"/>
      <c r="X8" s="11"/>
    </row>
    <row r="9" spans="1:24" ht="20" thickBot="1">
      <c r="A9" s="3"/>
      <c r="B9" s="3"/>
      <c r="C9" s="48" t="str">
        <f>IF(OR(C8="N",C8="S")," ","N oder S eingeben!")</f>
        <v xml:space="preserve"> </v>
      </c>
      <c r="D9" s="6"/>
      <c r="E9" s="6"/>
      <c r="F9" s="6"/>
      <c r="G9" s="6"/>
      <c r="H9" s="3"/>
      <c r="I9" s="1"/>
      <c r="J9" s="1"/>
      <c r="Q9" s="1"/>
      <c r="T9" s="1"/>
      <c r="X9" s="11"/>
    </row>
    <row r="10" spans="1:24">
      <c r="A10" s="3"/>
      <c r="B10" s="3"/>
      <c r="D10" s="3"/>
      <c r="E10" s="3"/>
      <c r="F10" s="3"/>
      <c r="G10" s="3"/>
      <c r="H10" s="3"/>
      <c r="I10" s="1"/>
      <c r="J10" s="1"/>
      <c r="K10" s="272"/>
      <c r="L10" s="273" t="s">
        <v>125</v>
      </c>
      <c r="M10" s="273" t="s">
        <v>116</v>
      </c>
      <c r="N10" s="274" t="s">
        <v>109</v>
      </c>
      <c r="O10" s="273" t="s">
        <v>104</v>
      </c>
      <c r="P10" s="273" t="s">
        <v>105</v>
      </c>
      <c r="Q10" s="273" t="s">
        <v>106</v>
      </c>
      <c r="R10" s="275" t="s">
        <v>107</v>
      </c>
      <c r="S10" s="276" t="s">
        <v>113</v>
      </c>
      <c r="T10" s="273" t="s">
        <v>114</v>
      </c>
      <c r="U10" s="273" t="s">
        <v>115</v>
      </c>
      <c r="V10" s="273" t="s">
        <v>126</v>
      </c>
      <c r="W10" s="277" t="s">
        <v>108</v>
      </c>
      <c r="X10" s="11"/>
    </row>
    <row r="11" spans="1:24" ht="17">
      <c r="A11" s="3"/>
      <c r="B11" s="8" t="s">
        <v>48</v>
      </c>
      <c r="C11" s="8"/>
      <c r="D11" s="8"/>
      <c r="E11" s="6"/>
      <c r="F11" s="6"/>
      <c r="G11" s="9"/>
      <c r="H11" s="9"/>
      <c r="I11" s="1"/>
      <c r="K11" s="271" t="s">
        <v>102</v>
      </c>
      <c r="L11" s="335">
        <f>_xlfn.DAYS(dat,ref)+ot-0.5</f>
        <v>8917.8431944444437</v>
      </c>
      <c r="M11" s="336">
        <f>RADIANS(_A1+_B1*_T1)</f>
        <v>158.30684349519225</v>
      </c>
      <c r="N11" s="336">
        <f>RADIANS(_A2+_B2*_T1)</f>
        <v>4.9455606946140023</v>
      </c>
      <c r="O11" s="336">
        <f>M11-N11</f>
        <v>153.36128280057824</v>
      </c>
      <c r="P11" s="336">
        <f>_A3-_B3*_T1</f>
        <v>1.669874539591604E-2</v>
      </c>
      <c r="Q11" s="336">
        <f>(2*P11-P11^3/4)*SIN(O11)+5*P11^2/4*SIN(2*O11)+13*P11^3/12*SIN(3*O11)</f>
        <v>1.7897633056724583E-2</v>
      </c>
      <c r="R11" s="336">
        <f>M11+Q11</f>
        <v>158.32474112824897</v>
      </c>
      <c r="S11" s="336">
        <f>RADIANS(_A4-_B4*_T1)</f>
        <v>0.40903521164414097</v>
      </c>
      <c r="T11" s="336">
        <f>ATAN(  (TAN(M11)-TAN(R11)*COS(S11))  /(1+TAN(M11)*TAN(R11)*COS(S11)))</f>
        <v>9.10328387314553E-3</v>
      </c>
      <c r="U11" s="336">
        <f>IF((ot*24+12)&gt;24,T11+RADIANS(15)*(ot*24-12),T11+RADIANS(15)*(ot*24+12))</f>
        <v>5.3070502283019332</v>
      </c>
      <c r="V11" s="335">
        <f>IF(U11&lt;0,U11+2*PI(),IF(U11&gt;2*PI(),U11-2*PI(),U11))</f>
        <v>5.3070502283019332</v>
      </c>
      <c r="W11" s="337">
        <f>ASIN(SIN(R11)*SIN(S11))</f>
        <v>0.38635681923869536</v>
      </c>
    </row>
    <row r="12" spans="1:24" ht="17" thickBot="1">
      <c r="A12" s="3"/>
      <c r="B12" s="33" t="s">
        <v>0</v>
      </c>
      <c r="C12" s="34"/>
      <c r="D12" s="16"/>
      <c r="E12" s="16"/>
      <c r="F12" s="35" t="s">
        <v>88</v>
      </c>
      <c r="G12" s="307">
        <v>45444</v>
      </c>
      <c r="H12" s="308"/>
      <c r="I12" s="1"/>
      <c r="J12" s="1"/>
      <c r="K12" s="270" t="s">
        <v>103</v>
      </c>
      <c r="L12" s="338">
        <f>_xlfn.DAYS(dat_,ref)+ot_-0.5</f>
        <v>8917.9691550925927</v>
      </c>
      <c r="M12" s="339">
        <f>RADIANS(_A1+_B1*_T2)</f>
        <v>158.30901036993464</v>
      </c>
      <c r="N12" s="339">
        <f>RADIANS(_A2+_B2*_T2)</f>
        <v>4.9455607980920986</v>
      </c>
      <c r="O12" s="339">
        <f>(M12-N12)</f>
        <v>153.36344957184255</v>
      </c>
      <c r="P12" s="339">
        <f>_A3-_B3*_T2</f>
        <v>1.6698745251074228E-2</v>
      </c>
      <c r="Q12" s="339">
        <f>(2*P12-P12^3/4)*SIN(O12)+5*P12^2/4*SIN(2*O12)+13*P12^3/12*SIN(3*O12)</f>
        <v>1.7837553909026808E-2</v>
      </c>
      <c r="R12" s="339">
        <f>M12+Q12</f>
        <v>158.32684792384367</v>
      </c>
      <c r="S12" s="339">
        <f>RADIANS(_A4-_B4*_T2)</f>
        <v>0.40903521086134076</v>
      </c>
      <c r="T12" s="339">
        <f>ATAN(  (TAN(M12)-TAN(R12)*COS(S12))  /(1+TAN(M12)*TAN(R12)*COS(S12)))</f>
        <v>9.0170101702778446E-3</v>
      </c>
      <c r="U12" s="339">
        <f>IF((ot_*24+12)&gt;24,T12+RADIANS(15)*(ot_*24-12),T12+RADIANS(15)*(ot_*24+12))</f>
        <v>6.0983980483263274</v>
      </c>
      <c r="V12" s="338">
        <f>IF(U12&lt;0,U12+2*PI(),IF(U12&gt;2*PI(),U12-2*PI(),U12))</f>
        <v>6.0983980483263274</v>
      </c>
      <c r="W12" s="340">
        <f>ASIN(SIN(R12)*SIN(S12))</f>
        <v>0.38664537003143434</v>
      </c>
      <c r="X12" s="11"/>
    </row>
    <row r="13" spans="1:24" ht="17" thickBot="1">
      <c r="A13" s="3"/>
      <c r="B13" s="33" t="s">
        <v>1</v>
      </c>
      <c r="C13" s="34"/>
      <c r="D13" s="16"/>
      <c r="E13" s="16"/>
      <c r="F13" s="35" t="str">
        <f>IF(ISNUMBER(G13)=TRUE,"hh:mm:ss: "," Syntax !!! ")</f>
        <v xml:space="preserve">hh:mm:ss: </v>
      </c>
      <c r="G13" s="309">
        <v>0.34319444444444447</v>
      </c>
      <c r="H13" s="310"/>
      <c r="I13" s="1"/>
      <c r="J13" s="1"/>
      <c r="X13" s="11"/>
    </row>
    <row r="14" spans="1:24">
      <c r="A14" s="3"/>
      <c r="B14" s="33" t="s">
        <v>2</v>
      </c>
      <c r="C14" s="191"/>
      <c r="D14" s="191"/>
      <c r="E14" s="191"/>
      <c r="F14" s="35" t="str">
        <f>IF(H6="U","Unterrand: ",IF(H6="O","Oberrand: "," "))</f>
        <v xml:space="preserve">Unterrand: </v>
      </c>
      <c r="G14" s="17">
        <v>55</v>
      </c>
      <c r="H14" s="21">
        <v>43.4</v>
      </c>
      <c r="I14" s="1"/>
      <c r="J14" s="1"/>
      <c r="K14" s="269"/>
      <c r="L14" s="265" t="s">
        <v>95</v>
      </c>
      <c r="M14" s="266" t="s">
        <v>92</v>
      </c>
      <c r="N14" s="266" t="s">
        <v>86</v>
      </c>
      <c r="O14" s="266" t="s">
        <v>93</v>
      </c>
      <c r="P14" s="266" t="s">
        <v>87</v>
      </c>
      <c r="Q14" s="265" t="s">
        <v>111</v>
      </c>
      <c r="R14" s="267" t="s">
        <v>28</v>
      </c>
      <c r="S14" s="266" t="s">
        <v>110</v>
      </c>
      <c r="T14" s="266" t="s">
        <v>110</v>
      </c>
      <c r="U14" s="266" t="s">
        <v>96</v>
      </c>
      <c r="V14" s="266" t="s">
        <v>112</v>
      </c>
      <c r="W14" s="268" t="s">
        <v>94</v>
      </c>
      <c r="X14" s="11"/>
    </row>
    <row r="15" spans="1:24">
      <c r="A15" s="3"/>
      <c r="B15" s="10"/>
      <c r="C15" s="10"/>
      <c r="D15" s="10"/>
      <c r="E15" s="3"/>
      <c r="F15" s="18"/>
      <c r="G15" s="3"/>
      <c r="H15" s="18"/>
      <c r="I15" s="1"/>
      <c r="J15" s="1"/>
      <c r="K15" s="341" t="s">
        <v>128</v>
      </c>
      <c r="L15" s="250">
        <f>IF(C21="Zwischenzeit!","X",grt_-grt)</f>
        <v>0.79134782002439419</v>
      </c>
      <c r="M15" s="250">
        <f>ATAN(TAN(d_)/COS(q))</f>
        <v>0.52501325417451228</v>
      </c>
      <c r="N15" s="251">
        <f>ATAN(COS(F)*TAN(q)/SIN(F-d))</f>
        <v>1.4142524105381393</v>
      </c>
      <c r="O15" s="251">
        <f>ACOS((COS(V)*TAN(h)/TAN(F-d))*(SIN(h_)*SIN(F)/SIN(h)/SIN(d_)/COS(F-d)-1))*IF(C8="N",1,-1)*SIGN(d)*IF(AND(ot_&lt;ot,(dat_+ot_-dat-ot)&gt;0.4),-1,1)</f>
        <v>0.39166234211945583</v>
      </c>
      <c r="P15" s="250">
        <f>ATAN(TAN(h)/COS(V-W))</f>
        <v>1.2317302893441833</v>
      </c>
      <c r="Q15" s="250">
        <f>ATAN(COS(G)*TAN(V-W)/SIN(G-d))</f>
        <v>0.62925579838930756</v>
      </c>
      <c r="R15" s="251">
        <f>ATAN(COS(tau)*_xlfn.COT(G-d))</f>
        <v>0.62196073150461928</v>
      </c>
      <c r="S15" s="255">
        <f>grt+tau</f>
        <v>5.9363060266912404</v>
      </c>
      <c r="T15" s="255"/>
      <c r="U15" s="256">
        <f>IF(grt-_l&lt;0,grt-_l+ 2*PI(),IF(grt-_l&gt;2*PI(),grt-_l-2*PI(),grt-_l))</f>
        <v>5.653929508790279</v>
      </c>
      <c r="V15" s="256">
        <f>IF(LHA&gt;PI(),ACOS((SIN(d)-SIN(h)*SIN(j))/(COS(h)*COS(j))),(2*PI()-ACOS((SIN(d)-SIN(h)*SIN(j))/(COS(h)*COS(j)))))</f>
        <v>1.8049948288427922</v>
      </c>
      <c r="W15" s="257">
        <f>RADIANS(dmg/60)*COS(Az-RADIANS(cmg))+h</f>
        <v>0.97104957741802644</v>
      </c>
      <c r="X15" s="11"/>
    </row>
    <row r="16" spans="1:24" ht="18" thickBot="1">
      <c r="A16" s="3"/>
      <c r="B16" s="8" t="s">
        <v>49</v>
      </c>
      <c r="C16" s="23"/>
      <c r="D16" s="22"/>
      <c r="E16" s="9"/>
      <c r="F16" s="9"/>
      <c r="G16" s="9"/>
      <c r="H16" s="6"/>
      <c r="I16" s="1"/>
      <c r="K16" s="342" t="s">
        <v>127</v>
      </c>
      <c r="L16" s="249"/>
      <c r="M16" s="249"/>
      <c r="N16" s="249"/>
      <c r="O16" s="252">
        <f>ACOS((COS(V)*TAN(hs)/TAN(F-d))*(SIN(h_)*SIN(F)/SIN(hs)/SIN(d_)/COS(F-d)-1))*IF(C8="N",1,-1)*SIGN(d)*IF(AND(ot_&lt;ot,(dat_+ot_-dat-ot)&gt;0.4),-1,1)</f>
        <v>0.39468099358849207</v>
      </c>
      <c r="P16" s="253">
        <f>ATAN(TAN(hs)/COS(V-Ws))</f>
        <v>1.2269157588667008</v>
      </c>
      <c r="Q16" s="253">
        <f>ATAN(COS(Gs)*TAN(V-Ws)/SIN(Gs-d))</f>
        <v>0.63452755748140344</v>
      </c>
      <c r="R16" s="253">
        <f>ATAN(COS(taus)*_xlfn.COT(Gs-d))</f>
        <v>0.6247259714573361</v>
      </c>
      <c r="S16" s="253">
        <f>grt+taus</f>
        <v>5.9415777857833367</v>
      </c>
      <c r="T16" s="253">
        <f>IF(_ls&gt;3*PI(),2*PI(),0)+IF(_ls&lt;PI(),-_ls,2*PI()-_ls)</f>
        <v>0.3416075213962495</v>
      </c>
      <c r="U16" s="258">
        <f>IF(grt_+ls&lt;0,grt_+ls+ 2*PI(),IF(grt_+ls&gt;2*PI(),grt_+ls-2*PI(),grt_+ls))</f>
        <v>0.15682026254299064</v>
      </c>
      <c r="V16" s="258">
        <f>IF(LHA_&gt;PI(),ACOS((SIN(d_)-SIN(js)*SIN(h_))/COS(js)/COS(h_)),(2*PI()-ACOS((SIN(d_)-SIN(js)*SIN(h_))/COS(js)/COS(h_))))</f>
        <v>3.7045880801129467</v>
      </c>
      <c r="W16" s="254"/>
      <c r="X16" s="11"/>
    </row>
    <row r="17" spans="1:30">
      <c r="A17" s="3"/>
      <c r="B17" s="33" t="s">
        <v>16</v>
      </c>
      <c r="C17" s="125">
        <v>18</v>
      </c>
      <c r="D17" s="124" t="s">
        <v>90</v>
      </c>
      <c r="E17" s="311" t="s">
        <v>17</v>
      </c>
      <c r="F17" s="311"/>
      <c r="G17" s="312"/>
      <c r="H17" s="40">
        <v>260</v>
      </c>
      <c r="I17" s="7"/>
      <c r="T17" s="1"/>
      <c r="X17" s="11"/>
    </row>
    <row r="18" spans="1:30">
      <c r="A18" s="3"/>
      <c r="B18" s="6"/>
      <c r="C18" s="6"/>
      <c r="D18" s="6"/>
      <c r="E18" s="6"/>
      <c r="F18" s="6"/>
      <c r="G18" s="6"/>
      <c r="H18" s="6"/>
      <c r="I18" s="1"/>
      <c r="T18" s="1"/>
      <c r="X18" s="11"/>
    </row>
    <row r="19" spans="1:30" ht="18" thickBot="1">
      <c r="A19" s="3"/>
      <c r="B19" s="8" t="s">
        <v>50</v>
      </c>
      <c r="C19" s="14"/>
      <c r="D19" s="14"/>
      <c r="E19" s="15"/>
      <c r="F19" s="15"/>
      <c r="G19" s="220"/>
      <c r="H19" s="1"/>
      <c r="I19" s="1"/>
      <c r="T19" s="1"/>
      <c r="X19" s="11"/>
    </row>
    <row r="20" spans="1:30" ht="17" thickBot="1">
      <c r="A20" s="3"/>
      <c r="B20" s="33" t="s">
        <v>0</v>
      </c>
      <c r="C20" s="311" t="s">
        <v>98</v>
      </c>
      <c r="D20" s="311"/>
      <c r="E20" s="312"/>
      <c r="F20" s="360">
        <f>IF(dat_-dat&gt;1,"?",dat_-dat)</f>
        <v>0</v>
      </c>
      <c r="G20" s="307">
        <v>45444</v>
      </c>
      <c r="H20" s="308"/>
      <c r="I20" s="1"/>
      <c r="K20" s="291" t="s">
        <v>117</v>
      </c>
      <c r="L20" s="292" t="s">
        <v>3</v>
      </c>
      <c r="N20" s="289" t="s">
        <v>91</v>
      </c>
      <c r="O20" s="290" t="s">
        <v>97</v>
      </c>
      <c r="T20" s="1"/>
      <c r="X20" s="11"/>
    </row>
    <row r="21" spans="1:30">
      <c r="A21" s="3"/>
      <c r="B21" s="33" t="s">
        <v>1</v>
      </c>
      <c r="C21" s="320" t="str">
        <f>IF(OR((dat_-dat)+ot_-ot&lt;0,(dat_-dat)+ot_-ot&gt;5),"Zwischenzeit!"," ")</f>
        <v xml:space="preserve"> </v>
      </c>
      <c r="D21" s="320"/>
      <c r="E21" s="318" t="str">
        <f>IF(ISNUMBER(G21)=TRUE,"hh:mm:ss: "," Syntax !!! ")</f>
        <v xml:space="preserve">hh:mm:ss: </v>
      </c>
      <c r="F21" s="319"/>
      <c r="G21" s="321">
        <v>0.46915509259259258</v>
      </c>
      <c r="H21" s="322"/>
      <c r="I21" s="1"/>
      <c r="J21" s="1"/>
      <c r="K21" s="259">
        <v>1</v>
      </c>
      <c r="L21" s="260">
        <v>0.3</v>
      </c>
      <c r="M21" s="1"/>
      <c r="N21" s="278" t="s">
        <v>39</v>
      </c>
      <c r="O21" s="279">
        <f>280.4656</f>
        <v>280.46559999999999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>
      <c r="A22" s="3"/>
      <c r="B22" s="33" t="s">
        <v>2</v>
      </c>
      <c r="C22" s="191"/>
      <c r="D22" s="191"/>
      <c r="E22" s="191"/>
      <c r="F22" s="35" t="str">
        <f>IF(H7="U","Unterrand: ",IF(H7="O","Oberrand: "," "))</f>
        <v xml:space="preserve">Unterrand: </v>
      </c>
      <c r="G22" s="17">
        <v>74</v>
      </c>
      <c r="H22" s="21">
        <v>4.8</v>
      </c>
      <c r="I22" s="1"/>
      <c r="J22" s="57"/>
      <c r="K22" s="261">
        <f t="shared" ref="K22:K32" si="0">1+K21</f>
        <v>2</v>
      </c>
      <c r="L22" s="262">
        <v>0.2</v>
      </c>
      <c r="M22" s="57"/>
      <c r="N22" s="280" t="s">
        <v>40</v>
      </c>
      <c r="O22" s="281">
        <f>282.94</f>
        <v>282.94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>
      <c r="A23" s="3"/>
      <c r="B23" s="6"/>
      <c r="C23" s="3"/>
      <c r="D23" s="3"/>
      <c r="E23" s="3"/>
      <c r="F23" s="18"/>
      <c r="G23" s="236"/>
      <c r="I23" s="1"/>
      <c r="J23" s="58"/>
      <c r="K23" s="261">
        <f t="shared" si="0"/>
        <v>3</v>
      </c>
      <c r="L23" s="262">
        <v>0.1</v>
      </c>
      <c r="M23" s="58"/>
      <c r="N23" s="280" t="s">
        <v>41</v>
      </c>
      <c r="O23" s="281">
        <f>0.016709</f>
        <v>1.6709000000000002E-2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18" thickBot="1">
      <c r="A24" s="3"/>
      <c r="B24" s="8" t="s">
        <v>51</v>
      </c>
      <c r="C24" s="1"/>
      <c r="D24" s="1"/>
      <c r="E24" s="1"/>
      <c r="F24" s="1"/>
      <c r="G24" s="1"/>
      <c r="H24" s="1"/>
      <c r="I24" s="1"/>
      <c r="J24" s="58"/>
      <c r="K24" s="261">
        <f t="shared" si="0"/>
        <v>4</v>
      </c>
      <c r="L24" s="262">
        <v>0</v>
      </c>
      <c r="M24" s="58"/>
      <c r="N24" s="282" t="s">
        <v>42</v>
      </c>
      <c r="O24" s="283">
        <f>23.4391667</f>
        <v>23.439166700000001</v>
      </c>
    </row>
    <row r="25" spans="1:30">
      <c r="A25" s="3"/>
      <c r="B25" s="50" t="s">
        <v>119</v>
      </c>
      <c r="C25" s="224">
        <f>IFERROR(INT(ABS(DEGREES(js)))," ")</f>
        <v>35</v>
      </c>
      <c r="D25" s="225">
        <f>IFERROR(ROUNDDOWN((ABS(DEGREES(js))-C25),6)*60," ")</f>
        <v>47.649659999999997</v>
      </c>
      <c r="E25" s="226" t="str">
        <f>IFERROR(IF(DEGREES(js)&lt;0,"S","N")," ")</f>
        <v>N</v>
      </c>
      <c r="F25" s="227">
        <f>IFERROR(INT(ABS(DEGREES(ls)))," ")</f>
        <v>19</v>
      </c>
      <c r="G25" s="228">
        <f>IFERROR(ROUNDDOWN((ABS(DEGREES(ls))-F25),6)*60," ")</f>
        <v>34.360140000000001</v>
      </c>
      <c r="H25" s="229" t="str">
        <f>IFERROR(IF(DEGREES(ls)&lt;0,"W","E")," ")</f>
        <v>E</v>
      </c>
      <c r="I25" s="1"/>
      <c r="J25" s="58"/>
      <c r="K25" s="261">
        <f t="shared" si="0"/>
        <v>5</v>
      </c>
      <c r="L25" s="262">
        <v>-0.2</v>
      </c>
      <c r="M25" s="58"/>
      <c r="N25" s="278" t="s">
        <v>43</v>
      </c>
      <c r="O25" s="284">
        <v>0.98564733744010957</v>
      </c>
    </row>
    <row r="26" spans="1:30">
      <c r="A26" s="3"/>
      <c r="B26" s="36" t="s">
        <v>7</v>
      </c>
      <c r="C26" s="323">
        <f>IFERROR(ot+(360-DEGREES(LHA))/15/24," ")</f>
        <v>0.44334361522733984</v>
      </c>
      <c r="D26" s="323"/>
      <c r="E26" s="49" t="s">
        <v>15</v>
      </c>
      <c r="F26" s="324"/>
      <c r="G26" s="324"/>
      <c r="H26" s="189"/>
      <c r="I26" s="1"/>
      <c r="J26" s="58"/>
      <c r="K26" s="261">
        <f t="shared" si="0"/>
        <v>6</v>
      </c>
      <c r="L26" s="262">
        <v>-0.2</v>
      </c>
      <c r="M26" s="58"/>
      <c r="N26" s="280" t="s">
        <v>44</v>
      </c>
      <c r="O26" s="285">
        <v>4.706913073237508E-5</v>
      </c>
    </row>
    <row r="27" spans="1:30">
      <c r="A27" s="3"/>
      <c r="B27" s="6"/>
      <c r="C27" s="3"/>
      <c r="D27" s="3"/>
      <c r="E27" s="3"/>
      <c r="F27" s="3"/>
      <c r="G27" s="3"/>
      <c r="H27" s="3"/>
      <c r="I27" s="1"/>
      <c r="J27" s="58"/>
      <c r="K27" s="261">
        <f t="shared" si="0"/>
        <v>7</v>
      </c>
      <c r="L27" s="262">
        <v>-0.2</v>
      </c>
      <c r="M27" s="58"/>
      <c r="N27" s="280" t="s">
        <v>45</v>
      </c>
      <c r="O27" s="285">
        <v>1.1498973305954826E-9</v>
      </c>
    </row>
    <row r="28" spans="1:30" ht="18" thickBot="1">
      <c r="A28" s="1"/>
      <c r="B28" s="122" t="s">
        <v>52</v>
      </c>
      <c r="C28" s="3"/>
      <c r="D28" s="3"/>
      <c r="E28" s="3"/>
      <c r="F28" s="3"/>
      <c r="G28" s="3"/>
      <c r="H28" s="3"/>
      <c r="I28" s="1"/>
      <c r="J28" s="1"/>
      <c r="K28" s="261">
        <f t="shared" si="0"/>
        <v>8</v>
      </c>
      <c r="L28" s="262">
        <v>-0.2</v>
      </c>
      <c r="M28" s="58"/>
      <c r="N28" s="282" t="s">
        <v>46</v>
      </c>
      <c r="O28" s="286">
        <v>3.5607270514868054E-7</v>
      </c>
    </row>
    <row r="29" spans="1:30" ht="17" thickBot="1">
      <c r="A29" s="3"/>
      <c r="B29" s="25" t="s">
        <v>9</v>
      </c>
      <c r="C29" s="325">
        <f>ot</f>
        <v>0.34319444444444447</v>
      </c>
      <c r="D29" s="327"/>
      <c r="E29" s="326"/>
      <c r="F29" s="325">
        <f>ot_</f>
        <v>0.46915509259259258</v>
      </c>
      <c r="G29" s="327"/>
      <c r="H29" s="298"/>
      <c r="I29" s="1"/>
      <c r="J29" s="1"/>
      <c r="K29" s="261">
        <f t="shared" si="0"/>
        <v>9</v>
      </c>
      <c r="L29" s="262">
        <v>-0.1</v>
      </c>
      <c r="M29" s="58"/>
      <c r="N29" s="287" t="s">
        <v>53</v>
      </c>
      <c r="O29" s="288">
        <v>36526</v>
      </c>
    </row>
    <row r="30" spans="1:30">
      <c r="A30" s="3"/>
      <c r="B30" s="44" t="s">
        <v>10</v>
      </c>
      <c r="C30" s="26">
        <f>INT(DEGREES(grt))</f>
        <v>304</v>
      </c>
      <c r="D30" s="351">
        <f>(DEGREES(grt)-C30)*60</f>
        <v>4.2947847384448323</v>
      </c>
      <c r="E30" s="352"/>
      <c r="F30" s="299">
        <f>INT(DEGREES(grt_))</f>
        <v>349</v>
      </c>
      <c r="G30" s="343">
        <f>(DEGREES(grt_)-F30)*60</f>
        <v>24.748197595007468</v>
      </c>
      <c r="H30" s="344"/>
      <c r="K30" s="261">
        <f t="shared" si="0"/>
        <v>10</v>
      </c>
      <c r="L30" s="262">
        <v>0.1</v>
      </c>
    </row>
    <row r="31" spans="1:30">
      <c r="A31" s="3"/>
      <c r="B31" s="45" t="s">
        <v>11</v>
      </c>
      <c r="C31" s="190">
        <f>ROUNDDOWN(DEGREES(d),0)</f>
        <v>22</v>
      </c>
      <c r="D31" s="353">
        <f>(ABS(DEGREES(d))-ABS(C31))*60</f>
        <v>8.1969077085654618</v>
      </c>
      <c r="E31" s="354"/>
      <c r="F31" s="300">
        <f>ROUNDDOWN(DEGREES(d_),0)</f>
        <v>22</v>
      </c>
      <c r="G31" s="345">
        <f>(ABS(DEGREES(d_))-ABS(F31))*60</f>
        <v>9.188872264511474</v>
      </c>
      <c r="H31" s="346"/>
      <c r="K31" s="261">
        <f t="shared" si="0"/>
        <v>11</v>
      </c>
      <c r="L31" s="262">
        <v>0.2</v>
      </c>
      <c r="M31" s="58"/>
    </row>
    <row r="32" spans="1:30" ht="17" thickBot="1">
      <c r="A32" s="3"/>
      <c r="B32" s="46" t="s">
        <v>12</v>
      </c>
      <c r="C32" s="190">
        <f>IFERROR(ROUNDDOWN(DEGREES(LHA),0)," ")</f>
        <v>323</v>
      </c>
      <c r="D32" s="353">
        <f>IFERROR((DEGREES(LHA)-C32)*60," ")</f>
        <v>56.777911089460531</v>
      </c>
      <c r="E32" s="354"/>
      <c r="F32" s="300">
        <f>IFERROR(ROUNDDOWN(DEGREES(LHA_),0)," ")</f>
        <v>8</v>
      </c>
      <c r="G32" s="347">
        <f>IFERROR((DEGREES(LHA_)-F32)*60," ")</f>
        <v>59.108351150812446</v>
      </c>
      <c r="H32" s="348"/>
      <c r="K32" s="263">
        <f t="shared" si="0"/>
        <v>12</v>
      </c>
      <c r="L32" s="264">
        <v>0.3</v>
      </c>
      <c r="M32" s="58"/>
    </row>
    <row r="33" spans="1:33">
      <c r="A33" s="3"/>
      <c r="B33" s="45" t="s">
        <v>14</v>
      </c>
      <c r="C33" s="190">
        <f>IFERROR(INT(DEGREES(Az))," ")</f>
        <v>103</v>
      </c>
      <c r="D33" s="353">
        <f>IFERROR((DEGREES(Az)-C33)*60," ")</f>
        <v>25.115144137823222</v>
      </c>
      <c r="E33" s="354"/>
      <c r="F33" s="300">
        <f>IFERROR(INT(DEGREES(z_))," ")</f>
        <v>212</v>
      </c>
      <c r="G33" s="347">
        <f>IFERROR((DEGREES(z_)-F33)*60," ")</f>
        <v>15.435709496661048</v>
      </c>
      <c r="H33" s="348"/>
      <c r="K33" s="313" t="s">
        <v>122</v>
      </c>
      <c r="L33" s="51" t="s">
        <v>117</v>
      </c>
      <c r="M33" s="58"/>
    </row>
    <row r="34" spans="1:33" ht="17" thickBot="1">
      <c r="A34" s="3"/>
      <c r="B34" s="47" t="s">
        <v>13</v>
      </c>
      <c r="C34" s="355">
        <f>INT(P7)</f>
        <v>55</v>
      </c>
      <c r="D34" s="356">
        <f>(P7-C34)*60</f>
        <v>54.739812534831884</v>
      </c>
      <c r="E34" s="357"/>
      <c r="F34" s="297">
        <f>INT(P8)</f>
        <v>74</v>
      </c>
      <c r="G34" s="349">
        <f>(P8-F34)*60</f>
        <v>16.502838985732922</v>
      </c>
      <c r="H34" s="350"/>
      <c r="I34" s="233"/>
      <c r="K34" s="314"/>
      <c r="L34" s="52">
        <f>MONTH(G12)</f>
        <v>6</v>
      </c>
      <c r="M34" s="58"/>
    </row>
    <row r="35" spans="1:33">
      <c r="M35" s="58"/>
      <c r="N35" s="58"/>
      <c r="O35" s="58"/>
      <c r="P35" s="58"/>
      <c r="Q35" s="58"/>
    </row>
    <row r="36" spans="1:33">
      <c r="M36" s="58"/>
      <c r="N36" s="58"/>
      <c r="O36" s="58"/>
      <c r="P36" s="58"/>
      <c r="Q36" s="58"/>
    </row>
    <row r="39" spans="1:33">
      <c r="AF39" s="230"/>
      <c r="AG39" s="230"/>
    </row>
    <row r="41" spans="1:33">
      <c r="K41" s="55"/>
      <c r="L41" s="56"/>
      <c r="M41" s="58"/>
      <c r="N41" s="58"/>
      <c r="O41" s="58"/>
      <c r="P41" s="58"/>
      <c r="Q41" s="58"/>
    </row>
    <row r="42" spans="1:33">
      <c r="M42" s="1"/>
      <c r="N42" s="1"/>
      <c r="O42" s="1"/>
      <c r="P42" s="1"/>
      <c r="Q42" s="1"/>
    </row>
    <row r="43" spans="1:33">
      <c r="M43" s="1"/>
      <c r="N43" s="1"/>
      <c r="O43" s="1"/>
      <c r="P43" s="1"/>
      <c r="Q43" s="1"/>
    </row>
    <row r="45" spans="1:33">
      <c r="T45" s="231"/>
      <c r="U45" s="231"/>
      <c r="V45" s="231"/>
      <c r="W45" s="231"/>
      <c r="X45" s="11"/>
    </row>
    <row r="46" spans="1:33">
      <c r="T46" s="231"/>
      <c r="X46" s="11"/>
    </row>
    <row r="47" spans="1:33">
      <c r="T47" s="231"/>
      <c r="X47" s="11"/>
    </row>
    <row r="48" spans="1:33">
      <c r="T48" s="231"/>
      <c r="X48" s="11"/>
    </row>
    <row r="49" spans="4:24">
      <c r="T49" s="231"/>
      <c r="X49" s="11"/>
    </row>
    <row r="50" spans="4:24">
      <c r="T50" s="231"/>
      <c r="X50" s="11"/>
    </row>
    <row r="51" spans="4:24">
      <c r="S51" s="230"/>
      <c r="T51" s="231"/>
      <c r="X51" s="11"/>
    </row>
    <row r="52" spans="4:24">
      <c r="T52" s="231"/>
      <c r="X52" s="11"/>
    </row>
    <row r="53" spans="4:24">
      <c r="T53" s="231"/>
      <c r="X53" s="11"/>
    </row>
    <row r="54" spans="4:24">
      <c r="T54" s="231"/>
      <c r="X54" s="11"/>
    </row>
    <row r="55" spans="4:24" ht="20" customHeight="1">
      <c r="D55" s="358" t="s">
        <v>129</v>
      </c>
      <c r="E55" s="359"/>
      <c r="F55" s="359"/>
      <c r="G55" s="359"/>
      <c r="H55" s="361">
        <v>0.5</v>
      </c>
      <c r="T55" s="231"/>
      <c r="X55" s="11"/>
    </row>
    <row r="56" spans="4:24">
      <c r="T56" s="231"/>
      <c r="X56" s="11"/>
    </row>
    <row r="57" spans="4:24">
      <c r="T57" s="231"/>
      <c r="X57" s="11"/>
    </row>
    <row r="58" spans="4:24">
      <c r="T58" s="231"/>
      <c r="X58" s="11"/>
    </row>
    <row r="59" spans="4:24">
      <c r="T59" s="231"/>
      <c r="X59" s="11"/>
    </row>
    <row r="60" spans="4:24">
      <c r="T60" s="231"/>
      <c r="X60" s="11"/>
    </row>
    <row r="61" spans="4:24">
      <c r="T61" s="231"/>
      <c r="X61" s="11"/>
    </row>
    <row r="62" spans="4:24">
      <c r="T62" s="231"/>
      <c r="X62" s="11"/>
    </row>
    <row r="63" spans="4:24">
      <c r="T63" s="231"/>
      <c r="X63" s="11"/>
    </row>
    <row r="64" spans="4:24">
      <c r="T64" s="231"/>
      <c r="X64" s="11"/>
    </row>
    <row r="65" spans="15:24">
      <c r="T65" s="231"/>
      <c r="X65" s="11"/>
    </row>
    <row r="66" spans="15:24">
      <c r="O66" s="232"/>
      <c r="P66" s="231"/>
      <c r="Q66" s="231"/>
      <c r="R66" s="231"/>
      <c r="T66" s="231"/>
      <c r="X66" s="11"/>
    </row>
    <row r="67" spans="15:24">
      <c r="O67" s="232"/>
      <c r="P67" s="231"/>
      <c r="Q67" s="231"/>
      <c r="R67" s="231"/>
      <c r="T67" s="231"/>
      <c r="X67" s="11"/>
    </row>
    <row r="68" spans="15:24">
      <c r="O68" s="232"/>
      <c r="P68" s="231"/>
      <c r="Q68" s="231"/>
      <c r="R68" s="231"/>
      <c r="T68" s="231"/>
      <c r="X68" s="11"/>
    </row>
    <row r="69" spans="15:24">
      <c r="O69" s="232"/>
      <c r="P69" s="231"/>
      <c r="Q69" s="231"/>
      <c r="R69" s="231"/>
      <c r="T69" s="231"/>
      <c r="X69" s="11"/>
    </row>
    <row r="70" spans="15:24">
      <c r="O70" s="232"/>
      <c r="P70" s="231"/>
      <c r="Q70" s="231"/>
      <c r="R70" s="231"/>
      <c r="T70" s="231"/>
      <c r="X70" s="11"/>
    </row>
    <row r="71" spans="15:24">
      <c r="O71" s="232"/>
      <c r="P71" s="231"/>
      <c r="Q71" s="231"/>
      <c r="R71" s="231"/>
      <c r="T71" s="231"/>
      <c r="X71" s="11"/>
    </row>
    <row r="72" spans="15:24">
      <c r="O72" s="232"/>
      <c r="P72" s="231"/>
      <c r="Q72" s="231"/>
      <c r="R72" s="231"/>
      <c r="T72" s="231"/>
      <c r="X72" s="11"/>
    </row>
    <row r="73" spans="15:24">
      <c r="O73" s="232"/>
      <c r="P73" s="231"/>
      <c r="Q73" s="231"/>
      <c r="R73" s="231"/>
      <c r="T73" s="231"/>
      <c r="X73" s="11"/>
    </row>
    <row r="74" spans="15:24">
      <c r="T74" s="231"/>
      <c r="X74" s="11"/>
    </row>
    <row r="75" spans="15:24">
      <c r="T75" s="231"/>
      <c r="X75" s="11"/>
    </row>
    <row r="76" spans="15:24">
      <c r="T76" s="231"/>
      <c r="X76" s="11"/>
    </row>
    <row r="77" spans="15:24">
      <c r="T77" s="231"/>
      <c r="X77" s="11"/>
    </row>
    <row r="78" spans="15:24">
      <c r="S78" s="231"/>
      <c r="T78" s="231"/>
      <c r="X78" s="11"/>
    </row>
    <row r="79" spans="15:24">
      <c r="S79" s="231"/>
      <c r="T79" s="231"/>
      <c r="X79" s="11"/>
    </row>
    <row r="80" spans="15:24">
      <c r="S80" s="231"/>
      <c r="T80" s="231"/>
      <c r="X80" s="11"/>
    </row>
    <row r="81" spans="19:24">
      <c r="S81" s="231"/>
      <c r="T81" s="231"/>
      <c r="X81" s="11"/>
    </row>
    <row r="82" spans="19:24">
      <c r="S82" s="231"/>
      <c r="T82" s="231"/>
      <c r="X82" s="11"/>
    </row>
    <row r="83" spans="19:24">
      <c r="S83" s="231"/>
      <c r="T83" s="231"/>
      <c r="X83" s="11"/>
    </row>
    <row r="84" spans="19:24">
      <c r="S84" s="231"/>
      <c r="T84" s="231"/>
      <c r="X84" s="11"/>
    </row>
    <row r="85" spans="19:24">
      <c r="S85" s="231"/>
      <c r="T85" s="231"/>
      <c r="X85" s="11"/>
    </row>
    <row r="86" spans="19:24">
      <c r="X86" s="11"/>
    </row>
    <row r="87" spans="19:24">
      <c r="X87" s="11"/>
    </row>
    <row r="88" spans="19:24">
      <c r="X88" s="11"/>
    </row>
    <row r="89" spans="19:24">
      <c r="X89" s="11"/>
    </row>
    <row r="90" spans="19:24">
      <c r="X90" s="11"/>
    </row>
    <row r="91" spans="19:24">
      <c r="X91" s="11"/>
    </row>
    <row r="92" spans="19:24">
      <c r="X92" s="11"/>
    </row>
  </sheetData>
  <sheetProtection algorithmName="SHA-512" hashValue="17F12opwn5L6NigcRlSzFSoYa/bch+4n8JIaut9C1EI16yJQsRsUmGs1n52vHg0FrN6xzxMyJ1T8aF2R1/BG2Q==" saltValue="GUSEMj/T5mFlKbOTYSuNRA==" spinCount="100000" sheet="1" objects="1" scenarios="1" selectLockedCells="1"/>
  <mergeCells count="27">
    <mergeCell ref="D55:G55"/>
    <mergeCell ref="F29:G29"/>
    <mergeCell ref="C29:E29"/>
    <mergeCell ref="D34:E34"/>
    <mergeCell ref="D33:E33"/>
    <mergeCell ref="D32:E32"/>
    <mergeCell ref="D31:E31"/>
    <mergeCell ref="D30:E30"/>
    <mergeCell ref="G34:H34"/>
    <mergeCell ref="G33:H33"/>
    <mergeCell ref="G32:H32"/>
    <mergeCell ref="G31:H31"/>
    <mergeCell ref="G30:H30"/>
    <mergeCell ref="K33:K34"/>
    <mergeCell ref="C20:E20"/>
    <mergeCell ref="G20:H20"/>
    <mergeCell ref="D8:F8"/>
    <mergeCell ref="E21:F21"/>
    <mergeCell ref="C21:D21"/>
    <mergeCell ref="G21:H21"/>
    <mergeCell ref="C26:D26"/>
    <mergeCell ref="F26:G26"/>
    <mergeCell ref="D6:G6"/>
    <mergeCell ref="D7:G7"/>
    <mergeCell ref="G12:H12"/>
    <mergeCell ref="G13:H13"/>
    <mergeCell ref="E17:G17"/>
  </mergeCells>
  <pageMargins left="0.7" right="0.7" top="0.78740157499999996" bottom="0.78740157499999996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E153-CB63-C74B-98F7-7BA9F0E28284}">
  <dimension ref="A1:T58"/>
  <sheetViews>
    <sheetView workbookViewId="0">
      <selection activeCell="F2" sqref="F2:H2"/>
    </sheetView>
  </sheetViews>
  <sheetFormatPr baseColWidth="10" defaultRowHeight="16"/>
  <sheetData>
    <row r="1" spans="1:20" ht="17" thickBot="1">
      <c r="A1" s="3"/>
      <c r="B1" s="3"/>
      <c r="C1" s="3"/>
      <c r="D1" s="3"/>
      <c r="E1" s="3"/>
      <c r="F1" s="3"/>
      <c r="G1" s="3"/>
      <c r="H1" s="3"/>
      <c r="I1" s="60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1" thickBot="1">
      <c r="A2" s="3"/>
      <c r="B2" s="61" t="s">
        <v>18</v>
      </c>
      <c r="C2" s="3"/>
      <c r="D2" s="3"/>
      <c r="E2" s="3"/>
      <c r="F2" s="328" t="s">
        <v>19</v>
      </c>
      <c r="G2" s="329"/>
      <c r="H2" s="330"/>
      <c r="I2" s="60"/>
      <c r="M2" s="3"/>
      <c r="N2" s="3"/>
      <c r="O2" s="3"/>
      <c r="P2" s="3"/>
      <c r="Q2" s="3"/>
      <c r="R2" s="3"/>
      <c r="S2" s="3"/>
      <c r="T2" s="3"/>
    </row>
    <row r="3" spans="1:20" ht="16" customHeight="1">
      <c r="A3" s="3"/>
      <c r="B3" s="3"/>
      <c r="C3" s="3"/>
      <c r="D3" s="3"/>
      <c r="E3" s="3"/>
      <c r="F3" s="3"/>
      <c r="G3" s="3"/>
      <c r="H3" s="3"/>
      <c r="I3" s="60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0" customHeight="1" thickBot="1">
      <c r="A4" s="3"/>
      <c r="B4" s="3"/>
      <c r="C4" s="3"/>
      <c r="D4" s="3"/>
      <c r="E4" s="3"/>
      <c r="F4" s="3"/>
      <c r="G4" s="3"/>
      <c r="H4" s="3"/>
      <c r="I4" s="60"/>
      <c r="J4" s="12" t="s">
        <v>38</v>
      </c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6" customHeight="1">
      <c r="A5" s="3"/>
      <c r="B5" s="3"/>
      <c r="C5" s="3"/>
      <c r="D5" s="3"/>
      <c r="E5" s="3"/>
      <c r="F5" s="3"/>
      <c r="G5" s="3"/>
      <c r="H5" s="3"/>
      <c r="I5" s="60"/>
      <c r="J5" s="331" t="s">
        <v>20</v>
      </c>
      <c r="K5" s="332"/>
      <c r="L5" s="332"/>
      <c r="M5" s="62">
        <f>cmg</f>
        <v>260</v>
      </c>
      <c r="N5" s="63"/>
      <c r="O5" s="64"/>
      <c r="P5" s="3"/>
      <c r="Q5" s="3"/>
      <c r="R5" s="3"/>
      <c r="S5" s="3"/>
      <c r="T5" s="3"/>
    </row>
    <row r="6" spans="1:20" ht="16" customHeight="1">
      <c r="A6" s="3"/>
      <c r="B6" s="3"/>
      <c r="C6" s="3"/>
      <c r="D6" s="3"/>
      <c r="E6" s="3"/>
      <c r="F6" s="3"/>
      <c r="G6" s="3"/>
      <c r="H6" s="3"/>
      <c r="I6" s="60"/>
      <c r="J6" s="333" t="s">
        <v>21</v>
      </c>
      <c r="K6" s="334"/>
      <c r="L6" s="334"/>
      <c r="M6" s="65">
        <f>dmg</f>
        <v>18</v>
      </c>
      <c r="N6" s="66" t="s">
        <v>22</v>
      </c>
      <c r="O6" s="67"/>
      <c r="P6" s="3"/>
      <c r="Q6" s="3"/>
      <c r="R6" s="3"/>
      <c r="S6" s="3"/>
      <c r="T6" s="3"/>
    </row>
    <row r="7" spans="1:20" ht="16" customHeight="1">
      <c r="A7" s="3"/>
      <c r="B7" s="3"/>
      <c r="C7" s="3"/>
      <c r="D7" s="3"/>
      <c r="E7" s="3"/>
      <c r="F7" s="3"/>
      <c r="G7" s="3"/>
      <c r="H7" s="3"/>
      <c r="I7" s="60"/>
      <c r="J7" s="333" t="s">
        <v>23</v>
      </c>
      <c r="K7" s="334"/>
      <c r="L7" s="334"/>
      <c r="M7" s="65">
        <f>dmg*COS(RADIANS(cmg))</f>
        <v>-3.1256671980047459</v>
      </c>
      <c r="N7" s="68" t="s">
        <v>22</v>
      </c>
      <c r="O7" s="69">
        <f>M7/60</f>
        <v>-5.2094453300079099E-2</v>
      </c>
      <c r="P7" s="3"/>
      <c r="Q7" s="3"/>
      <c r="R7" s="70"/>
      <c r="S7" s="3"/>
      <c r="T7" s="3"/>
    </row>
    <row r="8" spans="1:20" ht="16" customHeight="1">
      <c r="A8" s="3"/>
      <c r="B8" s="3"/>
      <c r="C8" s="3"/>
      <c r="D8" s="3"/>
      <c r="E8" s="3"/>
      <c r="F8" s="3"/>
      <c r="G8" s="3"/>
      <c r="H8" s="3"/>
      <c r="I8" s="60"/>
      <c r="J8" s="333" t="s">
        <v>30</v>
      </c>
      <c r="K8" s="334"/>
      <c r="L8" s="334"/>
      <c r="M8" s="65">
        <f>dmg*SIN(RADIANS(cmg))</f>
        <v>-17.726539554219745</v>
      </c>
      <c r="N8" s="68" t="s">
        <v>22</v>
      </c>
      <c r="O8" s="69">
        <f>M8/60/COS(RADIANS(DEGREES(js)))</f>
        <v>-0.36423843491856317</v>
      </c>
      <c r="P8" s="3"/>
      <c r="Q8" s="3"/>
      <c r="R8" s="70"/>
      <c r="S8" s="3"/>
      <c r="T8" s="3"/>
    </row>
    <row r="9" spans="1:20" ht="16" customHeight="1">
      <c r="A9" s="3"/>
      <c r="B9" s="3"/>
      <c r="C9" s="3"/>
      <c r="D9" s="3"/>
      <c r="E9" s="3"/>
      <c r="F9" s="3"/>
      <c r="G9" s="3"/>
      <c r="H9" s="3"/>
      <c r="I9" s="60"/>
      <c r="J9" s="71"/>
      <c r="K9" s="24"/>
      <c r="L9" s="72" t="s">
        <v>24</v>
      </c>
      <c r="M9" s="73">
        <f>ABS(Navigation!H55)/40</f>
        <v>1.2500000000000001E-2</v>
      </c>
      <c r="N9" s="24"/>
      <c r="O9" s="74"/>
      <c r="P9" s="3"/>
      <c r="Q9" s="3"/>
      <c r="R9" s="3"/>
      <c r="S9" s="3"/>
      <c r="T9" s="3"/>
    </row>
    <row r="10" spans="1:20" ht="16" customHeight="1">
      <c r="A10" s="3"/>
      <c r="B10" s="3"/>
      <c r="C10" s="3"/>
      <c r="D10" s="3"/>
      <c r="E10" s="3"/>
      <c r="F10" s="3"/>
      <c r="G10" s="3"/>
      <c r="H10" s="3"/>
      <c r="I10" s="60"/>
      <c r="J10" s="75"/>
      <c r="K10" s="3"/>
      <c r="L10" s="76" t="s">
        <v>25</v>
      </c>
      <c r="M10" s="13" t="str">
        <f>IF(DEGREES(LHA)&gt;180,"E","W")</f>
        <v>E</v>
      </c>
      <c r="N10" s="3"/>
      <c r="O10" s="77"/>
      <c r="P10" s="3"/>
      <c r="Q10" s="3"/>
      <c r="R10" s="3"/>
      <c r="S10" s="3"/>
      <c r="T10" s="3"/>
    </row>
    <row r="11" spans="1:20" ht="16" customHeight="1" thickBot="1">
      <c r="A11" s="3"/>
      <c r="B11" s="3"/>
      <c r="C11" s="3"/>
      <c r="D11" s="3"/>
      <c r="E11" s="3"/>
      <c r="F11" s="3"/>
      <c r="G11" s="3"/>
      <c r="H11" s="3"/>
      <c r="I11" s="60"/>
      <c r="J11" s="78"/>
      <c r="K11" s="79"/>
      <c r="L11" s="80" t="s">
        <v>26</v>
      </c>
      <c r="M11" s="81" t="str">
        <f>IF(DEGREES(LHA_)&lt;180,"W","E")</f>
        <v>W</v>
      </c>
      <c r="N11" s="79"/>
      <c r="O11" s="82"/>
      <c r="P11" s="3"/>
      <c r="Q11" s="3"/>
      <c r="R11" s="3"/>
      <c r="S11" s="3"/>
      <c r="T11" s="3"/>
    </row>
    <row r="12" spans="1:20" ht="16" customHeight="1">
      <c r="A12" s="3"/>
      <c r="B12" s="3"/>
      <c r="C12" s="3"/>
      <c r="D12" s="3"/>
      <c r="E12" s="3"/>
      <c r="F12" s="3"/>
      <c r="G12" s="3"/>
      <c r="H12" s="3"/>
      <c r="I12" s="60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6" customHeight="1" thickBot="1">
      <c r="A13" s="3"/>
      <c r="B13" s="3"/>
      <c r="C13" s="3"/>
      <c r="D13" s="3"/>
      <c r="E13" s="3"/>
      <c r="F13" s="3"/>
      <c r="G13" s="3"/>
      <c r="H13" s="3"/>
      <c r="I13" s="60"/>
      <c r="J13" s="12" t="s">
        <v>27</v>
      </c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6" customHeight="1" thickBot="1">
      <c r="A14" s="3"/>
      <c r="B14" s="3"/>
      <c r="C14" s="3"/>
      <c r="D14" s="3"/>
      <c r="E14" s="3"/>
      <c r="F14" s="3"/>
      <c r="G14" s="3"/>
      <c r="H14" s="3"/>
      <c r="I14" s="60"/>
      <c r="J14" s="83" t="s">
        <v>28</v>
      </c>
      <c r="K14" s="84" t="s">
        <v>31</v>
      </c>
      <c r="L14" s="120" t="s">
        <v>32</v>
      </c>
      <c r="M14" s="120" t="s">
        <v>33</v>
      </c>
      <c r="N14" s="120" t="s">
        <v>34</v>
      </c>
      <c r="O14" s="85" t="s">
        <v>35</v>
      </c>
      <c r="P14" s="85" t="s">
        <v>36</v>
      </c>
      <c r="Q14" s="86" t="s">
        <v>29</v>
      </c>
      <c r="R14" s="121" t="s">
        <v>37</v>
      </c>
      <c r="S14" s="3"/>
      <c r="T14" s="3"/>
    </row>
    <row r="15" spans="1:20" ht="16" customHeight="1">
      <c r="A15" s="3"/>
      <c r="B15" s="3"/>
      <c r="C15" s="3"/>
      <c r="D15" s="3"/>
      <c r="E15" s="3"/>
      <c r="F15" s="3"/>
      <c r="G15" s="3"/>
      <c r="H15" s="3"/>
      <c r="I15" s="60"/>
      <c r="J15" s="87"/>
      <c r="K15" s="88"/>
      <c r="L15" s="88"/>
      <c r="M15" s="88"/>
      <c r="N15" s="88"/>
      <c r="O15" s="89"/>
      <c r="P15" s="90"/>
      <c r="Q15" s="91"/>
      <c r="R15" s="92"/>
      <c r="S15" s="3"/>
      <c r="T15" s="3"/>
    </row>
    <row r="16" spans="1:20" ht="16" customHeight="1">
      <c r="A16" s="3"/>
      <c r="B16" s="3"/>
      <c r="C16" s="3"/>
      <c r="D16" s="3"/>
      <c r="E16" s="3"/>
      <c r="F16" s="3"/>
      <c r="G16" s="3"/>
      <c r="H16" s="3"/>
      <c r="I16" s="60"/>
      <c r="J16" s="93">
        <f>J17+$M$9</f>
        <v>36.070208743365789</v>
      </c>
      <c r="K16" s="94">
        <f t="shared" ref="K16:K56" si="0">RADIANS(J16)</f>
        <v>0.62954390445337938</v>
      </c>
      <c r="L16" s="94">
        <f>IFERROR(DEGREES(grt+IF(B="W",-1,1)*ACOS((SIN(h)-SIN(d)*SIN(K16))/COS(d)/COS(K16))),#N/A)</f>
        <v>339.9937366542465</v>
      </c>
      <c r="M16" s="94">
        <f>IFERROR(DEGREES(grt_+IF(B_="W",-1,1)*ACOS((SIN(h_)-SIN(d_)*SIN(K16))/COS(d_)/COS(K16))),#N/A)</f>
        <v>340.99149913518812</v>
      </c>
      <c r="N16" s="94">
        <f t="shared" ref="N16:N56" si="1">IFERROR(DEGREES(grt+IF(B="W",-1,1)*ACOS((SIN(hs)-SIN(d)*SIN(K16))/COS(d)/COS(K16))),#N/A)</f>
        <v>340.34474526060194</v>
      </c>
      <c r="O16" s="95">
        <f t="shared" ref="O16:Q38" si="2">IF(L16&lt;0,ABS(L16),IF(L16&gt;360,-(L16-360),IF(AND(L16&gt;180,L16&lt;360),360-L16,-L16)))</f>
        <v>20.006263345753496</v>
      </c>
      <c r="P16" s="96">
        <f>IF(M16&lt;0,ABS(M16),IF(M16&gt;360,-(M16-360),IF(AND(M16&gt;180,M16&lt;360),360-M16,-M16)))</f>
        <v>19.008500864811879</v>
      </c>
      <c r="Q16" s="97">
        <f>IF(N16&lt;0,ABS(N16),IF(N16&gt;360,-(N16-360),IF(AND(N16&gt;180,N16&lt;360),360-N16,-N16)))</f>
        <v>19.65525473939806</v>
      </c>
      <c r="R16" s="98"/>
      <c r="S16" s="3"/>
      <c r="T16" s="3"/>
    </row>
    <row r="17" spans="1:20" ht="16" customHeight="1">
      <c r="A17" s="3"/>
      <c r="B17" s="3"/>
      <c r="C17" s="3"/>
      <c r="D17" s="3"/>
      <c r="E17" s="3"/>
      <c r="F17" s="3"/>
      <c r="G17" s="3"/>
      <c r="H17" s="3"/>
      <c r="I17" s="60"/>
      <c r="J17" s="93">
        <f>J18+$M$9</f>
        <v>36.057708743365787</v>
      </c>
      <c r="K17" s="94">
        <f t="shared" si="0"/>
        <v>0.6293257382968801</v>
      </c>
      <c r="L17" s="94">
        <f t="shared" ref="L17:L40" si="3">IFERROR(DEGREES(grt+IF(B="W",-1,1)*ACOS((SIN(h)-SIN(d)*SIN(K17))/COS(d)/COS(K17))),#N/A)</f>
        <v>339.99763400542878</v>
      </c>
      <c r="M17" s="94">
        <f t="shared" ref="M17:M56" si="4">IFERROR(DEGREES(grt_+IF(B_="W",-1,1)*ACOS((SIN(h_)-SIN(d_)*SIN(K17))/COS(d_)/COS(K17))),#N/A)</f>
        <v>340.96480464351663</v>
      </c>
      <c r="N17" s="94">
        <f t="shared" si="1"/>
        <v>340.34855448184925</v>
      </c>
      <c r="O17" s="95">
        <f t="shared" si="2"/>
        <v>20.002365994571221</v>
      </c>
      <c r="P17" s="96">
        <f t="shared" si="2"/>
        <v>19.035195356483371</v>
      </c>
      <c r="Q17" s="97">
        <f t="shared" si="2"/>
        <v>19.651445518150751</v>
      </c>
      <c r="R17" s="98"/>
      <c r="S17" s="3"/>
      <c r="T17" s="3"/>
    </row>
    <row r="18" spans="1:20" ht="16" customHeight="1">
      <c r="A18" s="3"/>
      <c r="B18" s="3"/>
      <c r="C18" s="3"/>
      <c r="D18" s="3"/>
      <c r="E18" s="3"/>
      <c r="F18" s="3"/>
      <c r="G18" s="3"/>
      <c r="H18" s="3"/>
      <c r="I18" s="60"/>
      <c r="J18" s="93">
        <f t="shared" ref="J18:J33" si="5">J19+$M$9</f>
        <v>36.045208743365784</v>
      </c>
      <c r="K18" s="94">
        <f t="shared" si="0"/>
        <v>0.62910757214038071</v>
      </c>
      <c r="L18" s="94">
        <f t="shared" si="3"/>
        <v>340.00152461397533</v>
      </c>
      <c r="M18" s="94">
        <f t="shared" si="4"/>
        <v>340.93822585852371</v>
      </c>
      <c r="N18" s="94">
        <f t="shared" si="1"/>
        <v>340.35235706886084</v>
      </c>
      <c r="O18" s="95">
        <f t="shared" si="2"/>
        <v>19.998475386024666</v>
      </c>
      <c r="P18" s="96">
        <f t="shared" si="2"/>
        <v>19.061774141476292</v>
      </c>
      <c r="Q18" s="97">
        <f t="shared" si="2"/>
        <v>19.64764293113916</v>
      </c>
      <c r="R18" s="98"/>
      <c r="S18" s="3"/>
      <c r="T18" s="3"/>
    </row>
    <row r="19" spans="1:20" ht="16" customHeight="1">
      <c r="A19" s="3"/>
      <c r="B19" s="3"/>
      <c r="C19" s="3"/>
      <c r="D19" s="3"/>
      <c r="E19" s="3"/>
      <c r="F19" s="3"/>
      <c r="G19" s="3"/>
      <c r="H19" s="3"/>
      <c r="I19" s="60"/>
      <c r="J19" s="93">
        <f t="shared" si="5"/>
        <v>36.032708743365781</v>
      </c>
      <c r="K19" s="94">
        <f t="shared" si="0"/>
        <v>0.62888940598388132</v>
      </c>
      <c r="L19" s="94">
        <f t="shared" si="3"/>
        <v>340.00540848520654</v>
      </c>
      <c r="M19" s="94">
        <f t="shared" si="4"/>
        <v>340.91176167923555</v>
      </c>
      <c r="N19" s="94">
        <f t="shared" si="1"/>
        <v>340.35615302680998</v>
      </c>
      <c r="O19" s="95">
        <f t="shared" si="2"/>
        <v>19.994591514793456</v>
      </c>
      <c r="P19" s="96">
        <f t="shared" si="2"/>
        <v>19.088238320764447</v>
      </c>
      <c r="Q19" s="97">
        <f t="shared" si="2"/>
        <v>19.643846973190023</v>
      </c>
      <c r="R19" s="98"/>
      <c r="S19" s="3"/>
      <c r="T19" s="3"/>
    </row>
    <row r="20" spans="1:20" ht="16" customHeight="1">
      <c r="A20" s="3"/>
      <c r="B20" s="3"/>
      <c r="C20" s="3"/>
      <c r="D20" s="3"/>
      <c r="E20" s="3"/>
      <c r="F20" s="3"/>
      <c r="G20" s="3"/>
      <c r="H20" s="3"/>
      <c r="I20" s="60"/>
      <c r="J20" s="93">
        <f t="shared" si="5"/>
        <v>36.020208743365778</v>
      </c>
      <c r="K20" s="94">
        <f t="shared" si="0"/>
        <v>0.62867123982738204</v>
      </c>
      <c r="L20" s="94">
        <f t="shared" si="3"/>
        <v>340.00928562443374</v>
      </c>
      <c r="M20" s="94">
        <f t="shared" si="4"/>
        <v>340.88541102301105</v>
      </c>
      <c r="N20" s="94">
        <f t="shared" si="1"/>
        <v>340.35994236086117</v>
      </c>
      <c r="O20" s="95">
        <f t="shared" si="2"/>
        <v>19.990714375566256</v>
      </c>
      <c r="P20" s="96">
        <f t="shared" si="2"/>
        <v>19.114588976988955</v>
      </c>
      <c r="Q20" s="97">
        <f t="shared" si="2"/>
        <v>19.640057639138831</v>
      </c>
      <c r="R20" s="98"/>
      <c r="S20" s="3"/>
      <c r="T20" s="3"/>
    </row>
    <row r="21" spans="1:20" ht="16" customHeight="1">
      <c r="A21" s="3"/>
      <c r="B21" s="3"/>
      <c r="C21" s="3"/>
      <c r="D21" s="3"/>
      <c r="E21" s="3"/>
      <c r="F21" s="3"/>
      <c r="G21" s="3"/>
      <c r="H21" s="3"/>
      <c r="I21" s="60"/>
      <c r="J21" s="93">
        <f t="shared" si="5"/>
        <v>36.007708743365775</v>
      </c>
      <c r="K21" s="94">
        <f t="shared" si="0"/>
        <v>0.62845307367088266</v>
      </c>
      <c r="L21" s="94">
        <f t="shared" si="3"/>
        <v>340.01315603695923</v>
      </c>
      <c r="M21" s="94">
        <f t="shared" si="4"/>
        <v>340.859172825114</v>
      </c>
      <c r="N21" s="94">
        <f t="shared" si="1"/>
        <v>340.36372507617023</v>
      </c>
      <c r="O21" s="95">
        <f t="shared" si="2"/>
        <v>19.986843963040769</v>
      </c>
      <c r="P21" s="96">
        <f t="shared" si="2"/>
        <v>19.140827174885999</v>
      </c>
      <c r="Q21" s="97">
        <f t="shared" si="2"/>
        <v>19.636274923829774</v>
      </c>
      <c r="R21" s="98"/>
      <c r="S21" s="3"/>
      <c r="T21" s="3"/>
    </row>
    <row r="22" spans="1:20" ht="16" customHeight="1">
      <c r="A22" s="3"/>
      <c r="B22" s="3"/>
      <c r="C22" s="3"/>
      <c r="D22" s="3"/>
      <c r="E22" s="3"/>
      <c r="F22" s="3"/>
      <c r="G22" s="3"/>
      <c r="H22" s="3"/>
      <c r="I22" s="60"/>
      <c r="J22" s="93">
        <f t="shared" si="5"/>
        <v>35.995208743365772</v>
      </c>
      <c r="K22" s="94">
        <f t="shared" si="0"/>
        <v>0.62823490751438338</v>
      </c>
      <c r="L22" s="94">
        <f t="shared" si="3"/>
        <v>340.01701972807643</v>
      </c>
      <c r="M22" s="94">
        <f t="shared" si="4"/>
        <v>340.83304603829794</v>
      </c>
      <c r="N22" s="94">
        <f t="shared" si="1"/>
        <v>340.36750117788415</v>
      </c>
      <c r="O22" s="95">
        <f t="shared" si="2"/>
        <v>19.982980271923566</v>
      </c>
      <c r="P22" s="96">
        <f t="shared" si="2"/>
        <v>19.166953961702063</v>
      </c>
      <c r="Q22" s="97">
        <f t="shared" si="2"/>
        <v>19.632498822115849</v>
      </c>
      <c r="R22" s="98"/>
      <c r="S22" s="3"/>
      <c r="T22" s="3"/>
    </row>
    <row r="23" spans="1:20" ht="16" customHeight="1">
      <c r="A23" s="3"/>
      <c r="B23" s="3"/>
      <c r="C23" s="3"/>
      <c r="D23" s="3"/>
      <c r="E23" s="3"/>
      <c r="F23" s="3"/>
      <c r="G23" s="3"/>
      <c r="H23" s="3"/>
      <c r="I23" s="42"/>
      <c r="J23" s="93">
        <f t="shared" si="5"/>
        <v>35.98270874336577</v>
      </c>
      <c r="K23" s="94">
        <f t="shared" si="0"/>
        <v>0.62801674135788399</v>
      </c>
      <c r="L23" s="94">
        <f t="shared" si="3"/>
        <v>340.0208767030694</v>
      </c>
      <c r="M23" s="94">
        <f t="shared" si="4"/>
        <v>340.80702963240304</v>
      </c>
      <c r="N23" s="94">
        <f t="shared" si="1"/>
        <v>340.37127067114136</v>
      </c>
      <c r="O23" s="95">
        <f t="shared" si="2"/>
        <v>19.979123296930595</v>
      </c>
      <c r="P23" s="96">
        <f t="shared" si="2"/>
        <v>19.192970367596956</v>
      </c>
      <c r="Q23" s="97">
        <f t="shared" si="2"/>
        <v>19.62872932885864</v>
      </c>
      <c r="R23" s="98"/>
      <c r="S23" s="3"/>
      <c r="T23" s="3"/>
    </row>
    <row r="24" spans="1:20" ht="16" customHeight="1">
      <c r="A24" s="3"/>
      <c r="B24" s="3"/>
      <c r="C24" s="3"/>
      <c r="D24" s="3"/>
      <c r="E24" s="3"/>
      <c r="F24" s="3"/>
      <c r="G24" s="3"/>
      <c r="H24" s="3"/>
      <c r="I24" s="60"/>
      <c r="J24" s="93">
        <f>J25+$M$9</f>
        <v>35.970208743365767</v>
      </c>
      <c r="K24" s="94">
        <f t="shared" si="0"/>
        <v>0.62779857520138471</v>
      </c>
      <c r="L24" s="94">
        <f t="shared" si="3"/>
        <v>340.02472696721355</v>
      </c>
      <c r="M24" s="94">
        <f t="shared" si="4"/>
        <v>340.78112259396545</v>
      </c>
      <c r="N24" s="94">
        <f t="shared" si="1"/>
        <v>340.37503356107146</v>
      </c>
      <c r="O24" s="95">
        <f t="shared" si="2"/>
        <v>19.975273032786447</v>
      </c>
      <c r="P24" s="96">
        <f t="shared" si="2"/>
        <v>19.218877406034551</v>
      </c>
      <c r="Q24" s="97">
        <f t="shared" si="2"/>
        <v>19.624966438928539</v>
      </c>
      <c r="R24" s="98"/>
      <c r="S24" s="3"/>
      <c r="T24" s="3"/>
    </row>
    <row r="25" spans="1:20" ht="16" customHeight="1">
      <c r="A25" s="3"/>
      <c r="B25" s="3"/>
      <c r="C25" s="3"/>
      <c r="D25" s="3"/>
      <c r="E25" s="3"/>
      <c r="F25" s="3"/>
      <c r="G25" s="3"/>
      <c r="H25" s="3"/>
      <c r="I25" s="60"/>
      <c r="J25" s="93">
        <f t="shared" si="5"/>
        <v>35.957708743365764</v>
      </c>
      <c r="K25" s="94">
        <f t="shared" si="0"/>
        <v>0.62758040904488532</v>
      </c>
      <c r="L25" s="94">
        <f t="shared" si="3"/>
        <v>340.02857052577508</v>
      </c>
      <c r="M25" s="94">
        <f t="shared" si="4"/>
        <v>340.75532392583744</v>
      </c>
      <c r="N25" s="94">
        <f t="shared" si="1"/>
        <v>340.37878985279548</v>
      </c>
      <c r="O25" s="95">
        <f t="shared" si="2"/>
        <v>19.971429474224919</v>
      </c>
      <c r="P25" s="96">
        <f t="shared" si="2"/>
        <v>19.244676074162555</v>
      </c>
      <c r="Q25" s="97">
        <f t="shared" si="2"/>
        <v>19.621210147204522</v>
      </c>
      <c r="R25" s="98"/>
      <c r="S25" s="3"/>
      <c r="T25" s="3"/>
    </row>
    <row r="26" spans="1:20" ht="16" customHeight="1">
      <c r="A26" s="3"/>
      <c r="B26" s="3"/>
      <c r="C26" s="3"/>
      <c r="D26" s="3"/>
      <c r="E26" s="3"/>
      <c r="F26" s="3"/>
      <c r="G26" s="3"/>
      <c r="H26" s="3"/>
      <c r="I26" s="60"/>
      <c r="J26" s="93">
        <f t="shared" si="5"/>
        <v>35.945208743365761</v>
      </c>
      <c r="K26" s="94">
        <f t="shared" si="0"/>
        <v>0.62736224288838593</v>
      </c>
      <c r="L26" s="94">
        <f t="shared" si="3"/>
        <v>340.03240738401126</v>
      </c>
      <c r="M26" s="94">
        <f t="shared" si="4"/>
        <v>340.7296326468192</v>
      </c>
      <c r="N26" s="94">
        <f t="shared" si="1"/>
        <v>340.38253955142591</v>
      </c>
      <c r="O26" s="95">
        <f t="shared" si="2"/>
        <v>19.967592615988735</v>
      </c>
      <c r="P26" s="96">
        <f t="shared" si="2"/>
        <v>19.270367353180802</v>
      </c>
      <c r="Q26" s="97">
        <f t="shared" si="2"/>
        <v>19.617460448574093</v>
      </c>
      <c r="R26" s="98"/>
      <c r="S26" s="3"/>
      <c r="T26" s="3"/>
    </row>
    <row r="27" spans="1:20" ht="16" customHeight="1">
      <c r="A27" s="3"/>
      <c r="B27" s="3"/>
      <c r="C27" s="3"/>
      <c r="D27" s="3"/>
      <c r="E27" s="3"/>
      <c r="F27" s="3"/>
      <c r="G27" s="3"/>
      <c r="H27" s="3"/>
      <c r="I27" s="60"/>
      <c r="J27" s="93">
        <f t="shared" si="5"/>
        <v>35.932708743365758</v>
      </c>
      <c r="K27" s="94">
        <f t="shared" si="0"/>
        <v>0.62714407673188666</v>
      </c>
      <c r="L27" s="94">
        <f t="shared" si="3"/>
        <v>340.03623754717051</v>
      </c>
      <c r="M27" s="94">
        <f t="shared" si="4"/>
        <v>340.7040477913007</v>
      </c>
      <c r="N27" s="94">
        <f t="shared" si="1"/>
        <v>340.38628266206638</v>
      </c>
      <c r="O27" s="95">
        <f t="shared" si="2"/>
        <v>19.963762452829485</v>
      </c>
      <c r="P27" s="96">
        <f t="shared" si="2"/>
        <v>19.295952208699305</v>
      </c>
      <c r="Q27" s="97">
        <f t="shared" si="2"/>
        <v>19.613717337933622</v>
      </c>
      <c r="R27" s="98"/>
      <c r="S27" s="3"/>
      <c r="T27" s="3"/>
    </row>
    <row r="28" spans="1:20" ht="16" customHeight="1">
      <c r="A28" s="3"/>
      <c r="B28" s="3"/>
      <c r="C28" s="3"/>
      <c r="D28" s="3"/>
      <c r="E28" s="3"/>
      <c r="F28" s="3"/>
      <c r="G28" s="3"/>
      <c r="H28" s="3"/>
      <c r="I28" s="60"/>
      <c r="J28" s="93">
        <f t="shared" si="5"/>
        <v>35.920208743365755</v>
      </c>
      <c r="K28" s="94">
        <f t="shared" si="0"/>
        <v>0.62692591057538727</v>
      </c>
      <c r="L28" s="94">
        <f t="shared" si="3"/>
        <v>340.04006102049215</v>
      </c>
      <c r="M28" s="94">
        <f t="shared" si="4"/>
        <v>340.67856840891477</v>
      </c>
      <c r="N28" s="94">
        <f t="shared" si="1"/>
        <v>340.39001918981216</v>
      </c>
      <c r="O28" s="95">
        <f t="shared" si="2"/>
        <v>19.959938979507854</v>
      </c>
      <c r="P28" s="96">
        <f t="shared" si="2"/>
        <v>19.321431591085229</v>
      </c>
      <c r="Q28" s="97">
        <f t="shared" si="2"/>
        <v>19.609980810187835</v>
      </c>
      <c r="R28" s="98"/>
      <c r="S28" s="3"/>
      <c r="T28" s="3"/>
    </row>
    <row r="29" spans="1:20" ht="16" customHeight="1">
      <c r="A29" s="3"/>
      <c r="B29" s="3"/>
      <c r="C29" s="3"/>
      <c r="D29" s="3"/>
      <c r="E29" s="3"/>
      <c r="F29" s="3"/>
      <c r="G29" s="3"/>
      <c r="H29" s="3"/>
      <c r="I29" s="60"/>
      <c r="J29" s="93">
        <f t="shared" si="5"/>
        <v>35.907708743365752</v>
      </c>
      <c r="K29" s="94">
        <f t="shared" si="0"/>
        <v>0.62670774441888799</v>
      </c>
      <c r="L29" s="94">
        <f t="shared" si="3"/>
        <v>340.04387780920672</v>
      </c>
      <c r="M29" s="94">
        <f t="shared" si="4"/>
        <v>340.65319356419894</v>
      </c>
      <c r="N29" s="94">
        <f t="shared" si="1"/>
        <v>340.39374913974967</v>
      </c>
      <c r="O29" s="95">
        <f t="shared" si="2"/>
        <v>19.95612219079328</v>
      </c>
      <c r="P29" s="96">
        <f t="shared" si="2"/>
        <v>19.346806435801057</v>
      </c>
      <c r="Q29" s="97">
        <f t="shared" si="2"/>
        <v>19.606250860250327</v>
      </c>
      <c r="R29" s="98"/>
      <c r="S29" s="3"/>
      <c r="T29" s="3"/>
    </row>
    <row r="30" spans="1:20" ht="16" customHeight="1">
      <c r="A30" s="3"/>
      <c r="B30" s="3"/>
      <c r="C30" s="3"/>
      <c r="D30" s="3"/>
      <c r="E30" s="3"/>
      <c r="F30" s="3"/>
      <c r="G30" s="3"/>
      <c r="H30" s="3"/>
      <c r="I30" s="60"/>
      <c r="J30" s="93">
        <f t="shared" si="5"/>
        <v>35.89520874336575</v>
      </c>
      <c r="K30" s="94">
        <f t="shared" si="0"/>
        <v>0.6264895782623886</v>
      </c>
      <c r="L30" s="94">
        <f t="shared" si="3"/>
        <v>340.04768791853581</v>
      </c>
      <c r="M30" s="94">
        <f t="shared" si="4"/>
        <v>340.62792233626766</v>
      </c>
      <c r="N30" s="94">
        <f t="shared" si="1"/>
        <v>340.39747251695695</v>
      </c>
      <c r="O30" s="95">
        <f t="shared" si="2"/>
        <v>19.952312081464186</v>
      </c>
      <c r="P30" s="96">
        <f t="shared" si="2"/>
        <v>19.372077663732341</v>
      </c>
      <c r="Q30" s="97">
        <f t="shared" si="2"/>
        <v>19.602527483043048</v>
      </c>
      <c r="R30" s="98"/>
      <c r="S30" s="3"/>
      <c r="T30" s="3"/>
    </row>
    <row r="31" spans="1:20" ht="16" customHeight="1">
      <c r="A31" s="3"/>
      <c r="B31" s="3"/>
      <c r="C31" s="3"/>
      <c r="D31" s="3"/>
      <c r="E31" s="3"/>
      <c r="F31" s="3"/>
      <c r="G31" s="3"/>
      <c r="H31" s="3"/>
      <c r="I31" s="60"/>
      <c r="J31" s="93">
        <f t="shared" si="5"/>
        <v>35.882708743365747</v>
      </c>
      <c r="K31" s="94">
        <f t="shared" si="0"/>
        <v>0.62627141210588932</v>
      </c>
      <c r="L31" s="94">
        <f t="shared" si="3"/>
        <v>340.05149135369214</v>
      </c>
      <c r="M31" s="94">
        <f t="shared" si="4"/>
        <v>340.60275381849357</v>
      </c>
      <c r="N31" s="94">
        <f t="shared" si="1"/>
        <v>340.40118932650341</v>
      </c>
      <c r="O31" s="95">
        <f t="shared" si="2"/>
        <v>19.948508646307857</v>
      </c>
      <c r="P31" s="96">
        <f t="shared" si="2"/>
        <v>19.397246181506432</v>
      </c>
      <c r="Q31" s="97">
        <f t="shared" si="2"/>
        <v>19.598810673496587</v>
      </c>
      <c r="R31" s="98"/>
      <c r="S31" s="3"/>
      <c r="T31" s="3"/>
    </row>
    <row r="32" spans="1:20" ht="16" customHeight="1">
      <c r="A32" s="3"/>
      <c r="B32" s="3"/>
      <c r="C32" s="3"/>
      <c r="D32" s="3"/>
      <c r="E32" s="3"/>
      <c r="F32" s="3"/>
      <c r="G32" s="3"/>
      <c r="H32" s="3"/>
      <c r="I32" s="60"/>
      <c r="J32" s="93">
        <f t="shared" si="5"/>
        <v>35.870208743365744</v>
      </c>
      <c r="K32" s="94">
        <f t="shared" si="0"/>
        <v>0.62605324594938994</v>
      </c>
      <c r="L32" s="94">
        <f t="shared" si="3"/>
        <v>340.05528811987955</v>
      </c>
      <c r="M32" s="94">
        <f t="shared" si="4"/>
        <v>340.57768711819779</v>
      </c>
      <c r="N32" s="94">
        <f t="shared" si="1"/>
        <v>340.40489957344988</v>
      </c>
      <c r="O32" s="95">
        <f t="shared" si="2"/>
        <v>19.944711880120451</v>
      </c>
      <c r="P32" s="96">
        <f t="shared" si="2"/>
        <v>19.422312881802213</v>
      </c>
      <c r="Q32" s="97">
        <f t="shared" si="2"/>
        <v>19.595100426550118</v>
      </c>
      <c r="R32" s="98"/>
      <c r="S32" s="3"/>
      <c r="T32" s="3"/>
    </row>
    <row r="33" spans="1:20" ht="16" customHeight="1">
      <c r="A33" s="3"/>
      <c r="B33" s="3"/>
      <c r="C33" s="3"/>
      <c r="D33" s="3"/>
      <c r="E33" s="3"/>
      <c r="F33" s="3"/>
      <c r="G33" s="3"/>
      <c r="H33" s="3"/>
      <c r="I33" s="60"/>
      <c r="J33" s="93">
        <f t="shared" si="5"/>
        <v>35.857708743365741</v>
      </c>
      <c r="K33" s="94">
        <f t="shared" si="0"/>
        <v>0.62583507979289055</v>
      </c>
      <c r="L33" s="94">
        <f t="shared" si="3"/>
        <v>340.05907822229295</v>
      </c>
      <c r="M33" s="94">
        <f t="shared" si="4"/>
        <v>340.5527213563484</v>
      </c>
      <c r="N33" s="94">
        <f t="shared" si="1"/>
        <v>340.40860326284877</v>
      </c>
      <c r="O33" s="95">
        <f t="shared" si="2"/>
        <v>19.940921777707047</v>
      </c>
      <c r="P33" s="96">
        <f t="shared" si="2"/>
        <v>19.4472786436516</v>
      </c>
      <c r="Q33" s="97">
        <f t="shared" si="2"/>
        <v>19.591396737151229</v>
      </c>
      <c r="R33" s="98"/>
      <c r="S33" s="3"/>
      <c r="T33" s="3"/>
    </row>
    <row r="34" spans="1:20">
      <c r="A34" s="3"/>
      <c r="B34" s="3"/>
      <c r="C34" s="3"/>
      <c r="D34" s="3"/>
      <c r="E34" s="3"/>
      <c r="F34" s="3"/>
      <c r="G34" s="3"/>
      <c r="H34" s="3"/>
      <c r="I34" s="60"/>
      <c r="J34" s="93">
        <f>J35+$M$9</f>
        <v>35.845208743365738</v>
      </c>
      <c r="K34" s="94">
        <f t="shared" si="0"/>
        <v>0.62561691363639127</v>
      </c>
      <c r="L34" s="94">
        <f t="shared" si="3"/>
        <v>340.06286166611869</v>
      </c>
      <c r="M34" s="94">
        <f t="shared" si="4"/>
        <v>340.52785566726811</v>
      </c>
      <c r="N34" s="94">
        <f t="shared" si="1"/>
        <v>340.41230039974386</v>
      </c>
      <c r="O34" s="95">
        <f t="shared" si="2"/>
        <v>19.937138333881308</v>
      </c>
      <c r="P34" s="96">
        <f t="shared" si="2"/>
        <v>19.472144332731887</v>
      </c>
      <c r="Q34" s="97">
        <f t="shared" si="2"/>
        <v>19.587699600256144</v>
      </c>
      <c r="R34" s="98"/>
      <c r="S34" s="3"/>
      <c r="T34" s="3"/>
    </row>
    <row r="35" spans="1:20">
      <c r="A35" s="3"/>
      <c r="B35" s="3"/>
      <c r="C35" s="3"/>
      <c r="D35" s="3"/>
      <c r="E35" s="3"/>
      <c r="F35" s="3"/>
      <c r="G35" s="3"/>
      <c r="H35" s="3"/>
      <c r="I35" s="60"/>
      <c r="J35" s="93">
        <f>J36+$M$9</f>
        <v>35.832708743365735</v>
      </c>
      <c r="K35" s="94">
        <f>RADIANS(J35)</f>
        <v>0.62539874747989188</v>
      </c>
      <c r="L35" s="94">
        <f t="shared" si="3"/>
        <v>340.06663845653401</v>
      </c>
      <c r="M35" s="94">
        <f t="shared" si="4"/>
        <v>340.5030891983489</v>
      </c>
      <c r="N35" s="94">
        <f t="shared" si="1"/>
        <v>340.41599098917038</v>
      </c>
      <c r="O35" s="95">
        <f t="shared" si="2"/>
        <v>19.933361543465992</v>
      </c>
      <c r="P35" s="96">
        <f t="shared" si="2"/>
        <v>19.496910801651097</v>
      </c>
      <c r="Q35" s="97">
        <f t="shared" si="2"/>
        <v>19.584009010829618</v>
      </c>
      <c r="R35" s="98"/>
      <c r="S35" s="3"/>
      <c r="T35" s="3"/>
    </row>
    <row r="36" spans="1:20">
      <c r="A36" s="3"/>
      <c r="B36" s="3"/>
      <c r="C36" s="3"/>
      <c r="D36" s="3"/>
      <c r="E36" s="3"/>
      <c r="F36" s="3"/>
      <c r="G36" s="3"/>
      <c r="H36" s="3"/>
      <c r="I36" s="60"/>
      <c r="J36" s="99">
        <f>DEGREES(js)-vb/2</f>
        <v>35.820208743365733</v>
      </c>
      <c r="K36" s="100">
        <f>RADIANS(J36)</f>
        <v>0.6251805813233926</v>
      </c>
      <c r="L36" s="100">
        <f t="shared" si="3"/>
        <v>340.07040859870744</v>
      </c>
      <c r="M36" s="100">
        <f t="shared" si="4"/>
        <v>340.47842110977564</v>
      </c>
      <c r="N36" s="100">
        <f t="shared" si="1"/>
        <v>340.41967503615541</v>
      </c>
      <c r="O36" s="101">
        <f>IF(L36&lt;0,ABS(L36),IF(L36&gt;360,-(L36-360),IF(AND(L36&gt;180,L36&lt;360),360-L36,-L36)))</f>
        <v>19.929591401292555</v>
      </c>
      <c r="P36" s="102">
        <f t="shared" si="2"/>
        <v>19.521578890224362</v>
      </c>
      <c r="Q36" s="103">
        <f t="shared" si="2"/>
        <v>19.580324963844589</v>
      </c>
      <c r="R36" s="98"/>
      <c r="S36" s="3"/>
      <c r="T36" s="3"/>
    </row>
    <row r="37" spans="1:20">
      <c r="A37" s="3"/>
      <c r="B37" s="3"/>
      <c r="C37" s="3"/>
      <c r="D37" s="3"/>
      <c r="E37" s="3"/>
      <c r="F37" s="3"/>
      <c r="G37" s="3"/>
      <c r="H37" s="3"/>
      <c r="I37" s="60"/>
      <c r="J37" s="93">
        <f t="shared" ref="J37:J56" si="6">J36-$M$9</f>
        <v>35.80770874336573</v>
      </c>
      <c r="K37" s="94">
        <f t="shared" si="0"/>
        <v>0.62496241516689321</v>
      </c>
      <c r="L37" s="94">
        <f t="shared" si="3"/>
        <v>340.07417209779885</v>
      </c>
      <c r="M37" s="94">
        <f t="shared" si="4"/>
        <v>340.45385057425585</v>
      </c>
      <c r="N37" s="94">
        <f t="shared" si="1"/>
        <v>340.42335254571708</v>
      </c>
      <c r="O37" s="95">
        <f t="shared" si="2"/>
        <v>19.925827902201149</v>
      </c>
      <c r="P37" s="96">
        <f t="shared" si="2"/>
        <v>19.546149425744147</v>
      </c>
      <c r="Q37" s="97">
        <f t="shared" si="2"/>
        <v>19.57664745428292</v>
      </c>
      <c r="R37" s="98"/>
      <c r="S37" s="3"/>
      <c r="T37" s="3"/>
    </row>
    <row r="38" spans="1:20">
      <c r="A38" s="3"/>
      <c r="B38" s="3"/>
      <c r="C38" s="3"/>
      <c r="D38" s="3"/>
      <c r="E38" s="3"/>
      <c r="F38" s="3"/>
      <c r="G38" s="3"/>
      <c r="H38" s="3"/>
      <c r="I38" s="60"/>
      <c r="J38" s="93">
        <f t="shared" si="6"/>
        <v>35.795208743365727</v>
      </c>
      <c r="K38" s="94">
        <f t="shared" si="0"/>
        <v>0.62474424901039394</v>
      </c>
      <c r="L38" s="94">
        <f t="shared" si="3"/>
        <v>340.07792895895921</v>
      </c>
      <c r="M38" s="94">
        <f t="shared" si="4"/>
        <v>340.42937677675843</v>
      </c>
      <c r="N38" s="94">
        <f t="shared" si="1"/>
        <v>340.42702352286551</v>
      </c>
      <c r="O38" s="95">
        <f t="shared" si="2"/>
        <v>19.922071041040795</v>
      </c>
      <c r="P38" s="96">
        <f t="shared" si="2"/>
        <v>19.570623223241569</v>
      </c>
      <c r="Q38" s="97">
        <f t="shared" si="2"/>
        <v>19.572976477134489</v>
      </c>
      <c r="R38" s="98"/>
      <c r="S38" s="3"/>
      <c r="T38" s="3"/>
    </row>
    <row r="39" spans="1:20">
      <c r="A39" s="3"/>
      <c r="B39" s="3"/>
      <c r="C39" s="3"/>
      <c r="D39" s="3"/>
      <c r="E39" s="3"/>
      <c r="F39" s="3"/>
      <c r="G39" s="3"/>
      <c r="H39" s="3"/>
      <c r="I39" s="60"/>
      <c r="J39" s="93">
        <f t="shared" si="6"/>
        <v>35.782708743365724</v>
      </c>
      <c r="K39" s="94">
        <f t="shared" si="0"/>
        <v>0.62452608285389455</v>
      </c>
      <c r="L39" s="94">
        <f t="shared" si="3"/>
        <v>340.08167918733079</v>
      </c>
      <c r="M39" s="94">
        <f t="shared" si="4"/>
        <v>340.40499891425776</v>
      </c>
      <c r="N39" s="94">
        <f t="shared" si="1"/>
        <v>340.43068797260219</v>
      </c>
      <c r="O39" s="95">
        <f t="shared" ref="O39:Q56" si="7">IF(L39&lt;0,ABS(L39),IF(L39&gt;360,-(L39-360),IF(AND(L39&gt;180,L39&lt;360),360-L39,-L39)))</f>
        <v>19.918320812669208</v>
      </c>
      <c r="P39" s="96">
        <f t="shared" si="7"/>
        <v>19.59500108574224</v>
      </c>
      <c r="Q39" s="97">
        <f t="shared" si="7"/>
        <v>19.569312027397814</v>
      </c>
      <c r="R39" s="98"/>
      <c r="S39" s="3"/>
      <c r="T39" s="3"/>
    </row>
    <row r="40" spans="1:20">
      <c r="A40" s="3"/>
      <c r="B40" s="3"/>
      <c r="C40" s="3"/>
      <c r="D40" s="3"/>
      <c r="E40" s="3"/>
      <c r="F40" s="3"/>
      <c r="G40" s="3"/>
      <c r="H40" s="3"/>
      <c r="I40" s="42"/>
      <c r="J40" s="93">
        <f t="shared" si="6"/>
        <v>35.770208743365721</v>
      </c>
      <c r="K40" s="94">
        <f t="shared" si="0"/>
        <v>0.62430791669739516</v>
      </c>
      <c r="L40" s="94">
        <f t="shared" si="3"/>
        <v>340.08542278804714</v>
      </c>
      <c r="M40" s="94">
        <f t="shared" si="4"/>
        <v>340.38071619548583</v>
      </c>
      <c r="N40" s="94">
        <f t="shared" si="1"/>
        <v>340.43434589992006</v>
      </c>
      <c r="O40" s="95">
        <f t="shared" si="7"/>
        <v>19.91457721195286</v>
      </c>
      <c r="P40" s="96">
        <f t="shared" si="7"/>
        <v>19.619283804514168</v>
      </c>
      <c r="Q40" s="97">
        <f t="shared" si="7"/>
        <v>19.565654100079939</v>
      </c>
      <c r="R40" s="98"/>
      <c r="S40" s="3"/>
      <c r="T40" s="3"/>
    </row>
    <row r="41" spans="1:20">
      <c r="A41" s="3"/>
      <c r="B41" s="3"/>
      <c r="C41" s="3"/>
      <c r="D41" s="3"/>
      <c r="E41" s="3"/>
      <c r="F41" s="3"/>
      <c r="G41" s="3"/>
      <c r="H41" s="3"/>
      <c r="I41" s="60"/>
      <c r="J41" s="93">
        <f t="shared" si="6"/>
        <v>35.757708743365718</v>
      </c>
      <c r="K41" s="94">
        <f t="shared" si="0"/>
        <v>0.62408975054089588</v>
      </c>
      <c r="L41" s="94">
        <f t="shared" ref="L41:L56" si="8">IFERROR(DEGREES(grt+IF(B="W",-1,1)*ACOS((SIN(h)-SIN(d)*SIN(K41))/COS(d)/COS(K41))),#N/A)</f>
        <v>340.08915976623308</v>
      </c>
      <c r="M41" s="94">
        <f t="shared" si="4"/>
        <v>340.35652784069003</v>
      </c>
      <c r="N41" s="94">
        <f t="shared" si="1"/>
        <v>340.43799730980402</v>
      </c>
      <c r="O41" s="95">
        <f t="shared" si="7"/>
        <v>19.910840233766919</v>
      </c>
      <c r="P41" s="96">
        <f t="shared" si="7"/>
        <v>19.643472159309965</v>
      </c>
      <c r="Q41" s="97">
        <f t="shared" si="7"/>
        <v>19.562002690195982</v>
      </c>
      <c r="R41" s="98"/>
      <c r="S41" s="3"/>
      <c r="T41" s="3"/>
    </row>
    <row r="42" spans="1:20">
      <c r="A42" s="3"/>
      <c r="B42" s="3"/>
      <c r="C42" s="3"/>
      <c r="D42" s="3"/>
      <c r="E42" s="3"/>
      <c r="F42" s="3"/>
      <c r="G42" s="3"/>
      <c r="H42" s="3"/>
      <c r="I42" s="60"/>
      <c r="J42" s="93">
        <f t="shared" si="6"/>
        <v>35.745208743365716</v>
      </c>
      <c r="K42" s="94">
        <f t="shared" si="0"/>
        <v>0.62387158438439649</v>
      </c>
      <c r="L42" s="94">
        <f t="shared" si="8"/>
        <v>340.09289012700481</v>
      </c>
      <c r="M42" s="94">
        <f t="shared" si="4"/>
        <v>340.33243308139845</v>
      </c>
      <c r="N42" s="94">
        <f t="shared" si="1"/>
        <v>340.44164220723025</v>
      </c>
      <c r="O42" s="95">
        <f t="shared" si="7"/>
        <v>19.907109872995193</v>
      </c>
      <c r="P42" s="96">
        <f t="shared" si="7"/>
        <v>19.667566918601551</v>
      </c>
      <c r="Q42" s="97">
        <f t="shared" si="7"/>
        <v>19.558357792769755</v>
      </c>
      <c r="R42" s="98"/>
      <c r="S42" s="3"/>
      <c r="T42" s="3"/>
    </row>
    <row r="43" spans="1:20">
      <c r="A43" s="3"/>
      <c r="B43" s="3"/>
      <c r="C43" s="3"/>
      <c r="D43" s="3"/>
      <c r="E43" s="3"/>
      <c r="F43" s="3"/>
      <c r="G43" s="3"/>
      <c r="H43" s="3"/>
      <c r="I43" s="60"/>
      <c r="J43" s="93">
        <f t="shared" si="6"/>
        <v>35.732708743365713</v>
      </c>
      <c r="K43" s="94">
        <f t="shared" si="0"/>
        <v>0.62365341822789722</v>
      </c>
      <c r="L43" s="94">
        <f t="shared" si="8"/>
        <v>340.09661387546976</v>
      </c>
      <c r="M43" s="94">
        <f t="shared" si="4"/>
        <v>340.30843116019008</v>
      </c>
      <c r="N43" s="94">
        <f t="shared" si="1"/>
        <v>340.4452805971668</v>
      </c>
      <c r="O43" s="95">
        <f t="shared" si="7"/>
        <v>19.903386124530243</v>
      </c>
      <c r="P43" s="96">
        <f t="shared" si="7"/>
        <v>19.691568839809918</v>
      </c>
      <c r="Q43" s="97">
        <f t="shared" si="7"/>
        <v>19.5547194028332</v>
      </c>
      <c r="R43" s="98"/>
      <c r="S43" s="3"/>
      <c r="T43" s="3"/>
    </row>
    <row r="44" spans="1:20">
      <c r="A44" s="3"/>
      <c r="B44" s="3"/>
      <c r="C44" s="3"/>
      <c r="D44" s="3"/>
      <c r="E44" s="3"/>
      <c r="F44" s="3"/>
      <c r="G44" s="3"/>
      <c r="H44" s="3"/>
      <c r="I44" s="60"/>
      <c r="J44" s="93">
        <f t="shared" si="6"/>
        <v>35.72020874336571</v>
      </c>
      <c r="K44" s="94">
        <f t="shared" si="0"/>
        <v>0.62343525207139783</v>
      </c>
      <c r="L44" s="94">
        <f t="shared" si="8"/>
        <v>340.10033101672673</v>
      </c>
      <c r="M44" s="94">
        <f t="shared" si="4"/>
        <v>340.28452133047176</v>
      </c>
      <c r="N44" s="94">
        <f t="shared" si="1"/>
        <v>340.44891248457316</v>
      </c>
      <c r="O44" s="95">
        <f t="shared" si="7"/>
        <v>19.899668983273273</v>
      </c>
      <c r="P44" s="96">
        <f t="shared" si="7"/>
        <v>19.715478669528238</v>
      </c>
      <c r="Q44" s="97">
        <f t="shared" si="7"/>
        <v>19.551087515426843</v>
      </c>
      <c r="R44" s="98"/>
      <c r="S44" s="3"/>
      <c r="T44" s="3"/>
    </row>
    <row r="45" spans="1:20">
      <c r="A45" s="3"/>
      <c r="B45" s="3"/>
      <c r="C45" s="3"/>
      <c r="D45" s="3"/>
      <c r="E45" s="3"/>
      <c r="F45" s="3"/>
      <c r="G45" s="3"/>
      <c r="H45" s="3"/>
      <c r="I45" s="60"/>
      <c r="J45" s="93">
        <f t="shared" si="6"/>
        <v>35.707708743365707</v>
      </c>
      <c r="K45" s="94">
        <f t="shared" si="0"/>
        <v>0.62321708591489855</v>
      </c>
      <c r="L45" s="94">
        <f t="shared" si="8"/>
        <v>340.10404155586588</v>
      </c>
      <c r="M45" s="94">
        <f t="shared" si="4"/>
        <v>340.26070285626088</v>
      </c>
      <c r="N45" s="94">
        <f t="shared" si="1"/>
        <v>340.45253787440072</v>
      </c>
      <c r="O45" s="95">
        <f t="shared" si="7"/>
        <v>19.895958444134124</v>
      </c>
      <c r="P45" s="96">
        <f t="shared" si="7"/>
        <v>19.739297143739122</v>
      </c>
      <c r="Q45" s="97">
        <f t="shared" si="7"/>
        <v>19.547462125599282</v>
      </c>
      <c r="R45" s="98"/>
      <c r="S45" s="3"/>
      <c r="T45" s="3"/>
    </row>
    <row r="46" spans="1:20">
      <c r="A46" s="3"/>
      <c r="B46" s="3"/>
      <c r="C46" s="3"/>
      <c r="D46" s="3"/>
      <c r="E46" s="3"/>
      <c r="F46" s="3"/>
      <c r="G46" s="3"/>
      <c r="H46" s="3"/>
      <c r="I46" s="60"/>
      <c r="J46" s="93">
        <f t="shared" si="6"/>
        <v>35.695208743365704</v>
      </c>
      <c r="K46" s="94">
        <f t="shared" si="0"/>
        <v>0.62299891975839916</v>
      </c>
      <c r="L46" s="94">
        <f t="shared" si="8"/>
        <v>340.10774549796872</v>
      </c>
      <c r="M46" s="94">
        <f t="shared" si="4"/>
        <v>340.23697501197336</v>
      </c>
      <c r="N46" s="94">
        <f t="shared" si="1"/>
        <v>340.4561567715923</v>
      </c>
      <c r="O46" s="95">
        <f t="shared" si="7"/>
        <v>19.892254502031278</v>
      </c>
      <c r="P46" s="96">
        <f t="shared" si="7"/>
        <v>19.763024988026643</v>
      </c>
      <c r="Q46" s="97">
        <f t="shared" si="7"/>
        <v>19.543843228407695</v>
      </c>
      <c r="R46" s="98"/>
      <c r="S46" s="3"/>
      <c r="T46" s="3"/>
    </row>
    <row r="47" spans="1:20">
      <c r="A47" s="3"/>
      <c r="B47" s="3"/>
      <c r="C47" s="3"/>
      <c r="D47" s="3"/>
      <c r="E47" s="3"/>
      <c r="F47" s="3"/>
      <c r="G47" s="3"/>
      <c r="H47" s="3"/>
      <c r="I47" s="60"/>
      <c r="J47" s="93">
        <f t="shared" si="6"/>
        <v>35.682708743365701</v>
      </c>
      <c r="K47" s="94">
        <f t="shared" si="0"/>
        <v>0.62278075360189977</v>
      </c>
      <c r="L47" s="94">
        <f t="shared" si="8"/>
        <v>340.11144284810825</v>
      </c>
      <c r="M47" s="94">
        <f t="shared" si="4"/>
        <v>340.21333708221761</v>
      </c>
      <c r="N47" s="94">
        <f t="shared" si="1"/>
        <v>340.45976918108255</v>
      </c>
      <c r="O47" s="95">
        <f t="shared" si="7"/>
        <v>19.888557151891746</v>
      </c>
      <c r="P47" s="96">
        <f t="shared" si="7"/>
        <v>19.786662917782394</v>
      </c>
      <c r="Q47" s="97">
        <f t="shared" si="7"/>
        <v>19.540230818917451</v>
      </c>
      <c r="R47" s="98"/>
      <c r="S47" s="3"/>
      <c r="T47" s="3"/>
    </row>
    <row r="48" spans="1:20">
      <c r="A48" s="3"/>
      <c r="B48" s="3"/>
      <c r="C48" s="3"/>
      <c r="D48" s="3"/>
      <c r="E48" s="3"/>
      <c r="F48" s="3"/>
      <c r="G48" s="3"/>
      <c r="H48" s="3"/>
      <c r="I48" s="60"/>
      <c r="J48" s="93">
        <f t="shared" si="6"/>
        <v>35.670208743365698</v>
      </c>
      <c r="K48" s="94">
        <f t="shared" si="0"/>
        <v>0.62256258744540049</v>
      </c>
      <c r="L48" s="94">
        <f t="shared" si="8"/>
        <v>340.11513361134871</v>
      </c>
      <c r="M48" s="94">
        <f t="shared" si="4"/>
        <v>340.1897883615926</v>
      </c>
      <c r="N48" s="94">
        <f t="shared" si="1"/>
        <v>340.46337510779796</v>
      </c>
      <c r="O48" s="95">
        <f t="shared" si="7"/>
        <v>19.88486638865129</v>
      </c>
      <c r="P48" s="96">
        <f t="shared" si="7"/>
        <v>19.810211638407395</v>
      </c>
      <c r="Q48" s="97">
        <f t="shared" si="7"/>
        <v>19.536624892202042</v>
      </c>
      <c r="R48" s="98"/>
      <c r="S48" s="3"/>
      <c r="T48" s="3"/>
    </row>
    <row r="49" spans="1:20">
      <c r="A49" s="3"/>
      <c r="B49" s="3"/>
      <c r="C49" s="3"/>
      <c r="D49" s="3"/>
      <c r="E49" s="3"/>
      <c r="F49" s="3"/>
      <c r="G49" s="3"/>
      <c r="H49" s="3"/>
      <c r="I49" s="60"/>
      <c r="J49" s="93">
        <f t="shared" si="6"/>
        <v>35.657708743365696</v>
      </c>
      <c r="K49" s="94">
        <f t="shared" si="0"/>
        <v>0.62234442128890111</v>
      </c>
      <c r="L49" s="94">
        <f t="shared" si="8"/>
        <v>340.11881779274586</v>
      </c>
      <c r="M49" s="94">
        <f t="shared" si="4"/>
        <v>340.16632815449282</v>
      </c>
      <c r="N49" s="94">
        <f t="shared" si="1"/>
        <v>340.46697455665645</v>
      </c>
      <c r="O49" s="95">
        <f t="shared" si="7"/>
        <v>19.881182207254142</v>
      </c>
      <c r="P49" s="96">
        <f t="shared" si="7"/>
        <v>19.833671845507183</v>
      </c>
      <c r="Q49" s="97">
        <f t="shared" si="7"/>
        <v>19.533025443343547</v>
      </c>
      <c r="R49" s="98"/>
      <c r="S49" s="3"/>
      <c r="T49" s="3"/>
    </row>
    <row r="50" spans="1:20">
      <c r="A50" s="3"/>
      <c r="B50" s="3"/>
      <c r="C50" s="3"/>
      <c r="D50" s="3"/>
      <c r="E50" s="3"/>
      <c r="F50" s="3"/>
      <c r="G50" s="3"/>
      <c r="H50" s="3"/>
      <c r="I50" s="60"/>
      <c r="J50" s="93">
        <f t="shared" si="6"/>
        <v>35.645208743365693</v>
      </c>
      <c r="K50" s="94">
        <f t="shared" si="0"/>
        <v>0.62212625513240183</v>
      </c>
      <c r="L50" s="94">
        <f t="shared" si="8"/>
        <v>340.122495397347</v>
      </c>
      <c r="M50" s="94">
        <f t="shared" si="4"/>
        <v>340.14295577491629</v>
      </c>
      <c r="N50" s="94">
        <f t="shared" si="1"/>
        <v>340.47056753256788</v>
      </c>
      <c r="O50" s="95">
        <f t="shared" si="7"/>
        <v>19.877504602653005</v>
      </c>
      <c r="P50" s="96">
        <f t="shared" si="7"/>
        <v>19.857044225083712</v>
      </c>
      <c r="Q50" s="97">
        <f t="shared" si="7"/>
        <v>19.529432467432116</v>
      </c>
      <c r="R50" s="98"/>
      <c r="S50" s="3"/>
      <c r="T50" s="3"/>
    </row>
    <row r="51" spans="1:20">
      <c r="A51" s="3"/>
      <c r="B51" s="3"/>
      <c r="C51" s="3"/>
      <c r="D51" s="3"/>
      <c r="E51" s="3"/>
      <c r="F51" s="3"/>
      <c r="G51" s="3"/>
      <c r="H51" s="3"/>
      <c r="I51" s="60"/>
      <c r="J51" s="93">
        <f t="shared" si="6"/>
        <v>35.63270874336569</v>
      </c>
      <c r="K51" s="94">
        <f t="shared" si="0"/>
        <v>0.62190808897590244</v>
      </c>
      <c r="L51" s="94">
        <f t="shared" si="8"/>
        <v>340.12616643019066</v>
      </c>
      <c r="M51" s="94">
        <f t="shared" si="4"/>
        <v>340.1196705462786</v>
      </c>
      <c r="N51" s="94">
        <f t="shared" si="1"/>
        <v>340.47415404043392</v>
      </c>
      <c r="O51" s="95">
        <f t="shared" si="7"/>
        <v>19.873833569809335</v>
      </c>
      <c r="P51" s="96">
        <f t="shared" si="7"/>
        <v>19.880329453721401</v>
      </c>
      <c r="Q51" s="97">
        <f t="shared" si="7"/>
        <v>19.525845959566084</v>
      </c>
      <c r="R51" s="98"/>
      <c r="S51" s="3"/>
      <c r="T51" s="3"/>
    </row>
    <row r="52" spans="1:20">
      <c r="A52" s="3"/>
      <c r="B52" s="3"/>
      <c r="C52" s="3"/>
      <c r="D52" s="3"/>
      <c r="E52" s="3"/>
      <c r="F52" s="3"/>
      <c r="G52" s="3"/>
      <c r="H52" s="3"/>
      <c r="I52" s="60"/>
      <c r="J52" s="93">
        <f t="shared" si="6"/>
        <v>35.620208743365687</v>
      </c>
      <c r="K52" s="94">
        <f t="shared" si="0"/>
        <v>0.62168992281940316</v>
      </c>
      <c r="L52" s="94">
        <f t="shared" si="8"/>
        <v>340.129830896307</v>
      </c>
      <c r="M52" s="94">
        <f t="shared" si="4"/>
        <v>340.09647180123153</v>
      </c>
      <c r="N52" s="94">
        <f t="shared" si="1"/>
        <v>340.4777340851478</v>
      </c>
      <c r="O52" s="95">
        <f t="shared" si="7"/>
        <v>19.870169103693001</v>
      </c>
      <c r="P52" s="96">
        <f t="shared" si="7"/>
        <v>19.90352819876847</v>
      </c>
      <c r="Q52" s="97">
        <f t="shared" si="7"/>
        <v>19.522265914852198</v>
      </c>
      <c r="R52" s="98"/>
      <c r="S52" s="3"/>
      <c r="T52" s="3"/>
    </row>
    <row r="53" spans="1:20">
      <c r="A53" s="3"/>
      <c r="B53" s="3"/>
      <c r="C53" s="3"/>
      <c r="D53" s="3"/>
      <c r="E53" s="3"/>
      <c r="F53" s="3"/>
      <c r="G53" s="3"/>
      <c r="H53" s="3"/>
      <c r="I53" s="60"/>
      <c r="J53" s="93">
        <f t="shared" si="6"/>
        <v>35.607708743365684</v>
      </c>
      <c r="K53" s="94">
        <f t="shared" si="0"/>
        <v>0.62147175666290377</v>
      </c>
      <c r="L53" s="94">
        <f t="shared" si="8"/>
        <v>340.1334888007176</v>
      </c>
      <c r="M53" s="94">
        <f t="shared" si="4"/>
        <v>340.07335888148526</v>
      </c>
      <c r="N53" s="94">
        <f t="shared" si="1"/>
        <v>340.48130767159483</v>
      </c>
      <c r="O53" s="95">
        <f t="shared" si="7"/>
        <v>19.8665111992824</v>
      </c>
      <c r="P53" s="96">
        <f t="shared" si="7"/>
        <v>19.926641118514738</v>
      </c>
      <c r="Q53" s="97">
        <f t="shared" si="7"/>
        <v>19.518692328405166</v>
      </c>
      <c r="R53" s="98"/>
      <c r="S53" s="3"/>
      <c r="T53" s="3"/>
    </row>
    <row r="54" spans="1:20">
      <c r="A54" s="3"/>
      <c r="B54" s="3"/>
      <c r="C54" s="3"/>
      <c r="D54" s="3"/>
      <c r="E54" s="3"/>
      <c r="F54" s="3"/>
      <c r="G54" s="3"/>
      <c r="H54" s="3"/>
      <c r="I54" s="60"/>
      <c r="J54" s="93">
        <f t="shared" si="6"/>
        <v>35.595208743365681</v>
      </c>
      <c r="K54" s="94">
        <f t="shared" si="0"/>
        <v>0.62125359050640439</v>
      </c>
      <c r="L54" s="94">
        <f t="shared" si="8"/>
        <v>340.13714014843555</v>
      </c>
      <c r="M54" s="94">
        <f t="shared" si="4"/>
        <v>340.05033113763568</v>
      </c>
      <c r="N54" s="94">
        <f t="shared" si="1"/>
        <v>340.48487480465184</v>
      </c>
      <c r="O54" s="95">
        <f t="shared" si="7"/>
        <v>19.862859851564451</v>
      </c>
      <c r="P54" s="96">
        <f t="shared" si="7"/>
        <v>19.949668862364319</v>
      </c>
      <c r="Q54" s="97">
        <f t="shared" si="7"/>
        <v>19.515125195348162</v>
      </c>
      <c r="R54" s="98"/>
      <c r="S54" s="3"/>
      <c r="T54" s="3"/>
    </row>
    <row r="55" spans="1:20">
      <c r="A55" s="3"/>
      <c r="B55" s="3"/>
      <c r="C55" s="3"/>
      <c r="D55" s="3"/>
      <c r="E55" s="3"/>
      <c r="F55" s="3"/>
      <c r="G55" s="3"/>
      <c r="H55" s="3"/>
      <c r="I55" s="60"/>
      <c r="J55" s="93">
        <f t="shared" si="6"/>
        <v>35.582708743365679</v>
      </c>
      <c r="K55" s="94">
        <f t="shared" si="0"/>
        <v>0.62103542434990511</v>
      </c>
      <c r="L55" s="94">
        <f t="shared" si="8"/>
        <v>340.14078494446562</v>
      </c>
      <c r="M55" s="94">
        <f t="shared" si="4"/>
        <v>340.02738792899618</v>
      </c>
      <c r="N55" s="94">
        <f t="shared" si="1"/>
        <v>340.48843548918774</v>
      </c>
      <c r="O55" s="95">
        <f t="shared" si="7"/>
        <v>19.859215055534378</v>
      </c>
      <c r="P55" s="96">
        <f t="shared" si="7"/>
        <v>19.972612071003823</v>
      </c>
      <c r="Q55" s="97">
        <f t="shared" si="7"/>
        <v>19.511564510812264</v>
      </c>
      <c r="R55" s="98"/>
      <c r="S55" s="3"/>
      <c r="T55" s="3"/>
    </row>
    <row r="56" spans="1:20" ht="17" thickBot="1">
      <c r="A56" s="3"/>
      <c r="B56" s="3"/>
      <c r="C56" s="3"/>
      <c r="D56" s="3"/>
      <c r="E56" s="3"/>
      <c r="F56" s="3"/>
      <c r="G56" s="3"/>
      <c r="H56" s="3"/>
      <c r="I56" s="60"/>
      <c r="J56" s="93">
        <f t="shared" si="6"/>
        <v>35.570208743365676</v>
      </c>
      <c r="K56" s="94">
        <f t="shared" si="0"/>
        <v>0.62081725819340572</v>
      </c>
      <c r="L56" s="94">
        <f t="shared" si="8"/>
        <v>340.14442319380385</v>
      </c>
      <c r="M56" s="94">
        <f t="shared" si="4"/>
        <v>340.00452862343292</v>
      </c>
      <c r="N56" s="94">
        <f t="shared" si="1"/>
        <v>340.49198973006298</v>
      </c>
      <c r="O56" s="95">
        <f t="shared" si="7"/>
        <v>19.855576806196154</v>
      </c>
      <c r="P56" s="96">
        <f t="shared" si="7"/>
        <v>19.995471376567082</v>
      </c>
      <c r="Q56" s="97">
        <f t="shared" si="7"/>
        <v>19.508010269937017</v>
      </c>
      <c r="R56" s="104"/>
      <c r="S56" s="3"/>
      <c r="T56" s="3"/>
    </row>
    <row r="57" spans="1:20">
      <c r="A57" s="3"/>
      <c r="B57" s="3"/>
      <c r="C57" s="3"/>
      <c r="D57" s="3"/>
      <c r="E57" s="3"/>
      <c r="F57" s="3"/>
      <c r="G57" s="3"/>
      <c r="H57" s="3"/>
      <c r="I57" s="60"/>
      <c r="J57" s="105">
        <f>J58-vb</f>
        <v>35.846255970015768</v>
      </c>
      <c r="K57" s="106"/>
      <c r="L57" s="107"/>
      <c r="M57" s="108"/>
      <c r="N57" s="108"/>
      <c r="O57" s="109"/>
      <c r="P57" s="110"/>
      <c r="Q57" s="111"/>
      <c r="R57" s="112">
        <f>R58-vl</f>
        <v>19.936907660848625</v>
      </c>
      <c r="S57" s="3"/>
      <c r="T57" s="3"/>
    </row>
    <row r="58" spans="1:20" ht="17" thickBot="1">
      <c r="A58" s="3"/>
      <c r="B58" s="3"/>
      <c r="C58" s="3"/>
      <c r="D58" s="3"/>
      <c r="E58" s="3"/>
      <c r="F58" s="3"/>
      <c r="G58" s="3"/>
      <c r="H58" s="3"/>
      <c r="I58" s="60"/>
      <c r="J58" s="113">
        <f>DEGREES(js)</f>
        <v>35.79416151671569</v>
      </c>
      <c r="K58" s="114"/>
      <c r="L58" s="114"/>
      <c r="M58" s="115"/>
      <c r="N58" s="115"/>
      <c r="O58" s="116"/>
      <c r="P58" s="117"/>
      <c r="Q58" s="118"/>
      <c r="R58" s="119">
        <f>DEGREES(ls)</f>
        <v>19.572669225930063</v>
      </c>
      <c r="S58" s="3"/>
      <c r="T58" s="3"/>
    </row>
  </sheetData>
  <sheetProtection algorithmName="SHA-512" hashValue="1gePyLz91Ax8wqS9oQyGIr0EgXNo69huG/gmH2ji49lPPgwPWcj5M/ntUVbn5uTDyAew0O90/AlcdH8Uytb+sA==" saltValue="Z6LM3U4oE2jXmggDQngn6w==" spinCount="100000" sheet="1" objects="1" scenarios="1" selectLockedCells="1" selectUnlockedCells="1"/>
  <mergeCells count="5">
    <mergeCell ref="F2:H2"/>
    <mergeCell ref="J5:L5"/>
    <mergeCell ref="J6:L6"/>
    <mergeCell ref="J7:L7"/>
    <mergeCell ref="J8:L8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222-9834-FD46-ABE7-86E1E4C4E4B4}">
  <dimension ref="B1:AE197"/>
  <sheetViews>
    <sheetView showGridLines="0" showRowColHeaders="0" workbookViewId="0">
      <selection activeCell="D195" sqref="D195"/>
    </sheetView>
  </sheetViews>
  <sheetFormatPr baseColWidth="10" defaultRowHeight="16"/>
  <cols>
    <col min="1" max="1" width="4.83203125" customWidth="1"/>
    <col min="11" max="11" width="10.83203125" customWidth="1"/>
    <col min="26" max="26" width="5.5" customWidth="1"/>
  </cols>
  <sheetData>
    <row r="1" spans="2:31" ht="17" thickBot="1"/>
    <row r="2" spans="2:31" ht="23" customHeight="1" thickBot="1">
      <c r="B2" s="219" t="s">
        <v>78</v>
      </c>
      <c r="C2" s="3"/>
      <c r="D2" s="3"/>
      <c r="E2" s="3"/>
      <c r="F2" s="3"/>
      <c r="G2" s="3"/>
      <c r="H2" s="328" t="s">
        <v>19</v>
      </c>
      <c r="I2" s="329"/>
      <c r="J2" s="330"/>
      <c r="K2" s="60"/>
    </row>
    <row r="3" spans="2:31" ht="16" customHeight="1"/>
    <row r="4" spans="2:31" ht="16" customHeight="1"/>
    <row r="5" spans="2:31" ht="20" customHeight="1" thickBot="1">
      <c r="M5" s="145" t="s">
        <v>79</v>
      </c>
      <c r="AA5" s="145" t="s">
        <v>65</v>
      </c>
      <c r="AB5" s="146"/>
      <c r="AC5" s="146"/>
      <c r="AD5" s="146"/>
      <c r="AE5" s="146"/>
    </row>
    <row r="6" spans="2:31" ht="19" thickBot="1">
      <c r="M6" s="126" t="s">
        <v>28</v>
      </c>
      <c r="N6" s="127" t="s">
        <v>55</v>
      </c>
      <c r="O6" s="128" t="s">
        <v>56</v>
      </c>
      <c r="P6" s="129" t="s">
        <v>57</v>
      </c>
      <c r="Q6" s="130" t="s">
        <v>58</v>
      </c>
      <c r="R6" s="130" t="s">
        <v>59</v>
      </c>
      <c r="S6" s="130" t="s">
        <v>60</v>
      </c>
      <c r="T6" s="131" t="s">
        <v>61</v>
      </c>
      <c r="U6" s="131" t="s">
        <v>62</v>
      </c>
      <c r="V6" s="131" t="s">
        <v>63</v>
      </c>
      <c r="W6" s="131" t="s">
        <v>64</v>
      </c>
      <c r="X6" s="131" t="s">
        <v>80</v>
      </c>
      <c r="Y6" s="132" t="s">
        <v>83</v>
      </c>
      <c r="AA6" s="147"/>
      <c r="AB6" s="148"/>
      <c r="AC6" s="149"/>
      <c r="AD6" s="150" t="s">
        <v>66</v>
      </c>
      <c r="AE6" s="151">
        <f>MAX(L8:L9)</f>
        <v>56.214284919562225</v>
      </c>
    </row>
    <row r="7" spans="2:31" ht="17" thickBot="1">
      <c r="M7" s="203"/>
      <c r="N7" s="204">
        <f>IF(MIN(L8:L9)=0,MAX(L8:L9)+1,MIN(L8:L9)+(add+2)*(step+0.0001))</f>
        <v>57.037676998025724</v>
      </c>
      <c r="O7" s="135"/>
      <c r="P7" s="133"/>
      <c r="Q7" s="134"/>
      <c r="R7" s="134"/>
      <c r="S7" s="135"/>
      <c r="T7" s="136"/>
      <c r="U7" s="137"/>
      <c r="V7" s="137"/>
      <c r="W7" s="188"/>
      <c r="X7" s="201"/>
      <c r="Y7" s="202"/>
      <c r="AA7" s="152"/>
      <c r="AB7" s="153"/>
      <c r="AC7" s="154"/>
      <c r="AD7" s="155" t="s">
        <v>67</v>
      </c>
      <c r="AE7" s="156">
        <f>MIN(L192:L193)</f>
        <v>-11.941054662610044</v>
      </c>
    </row>
    <row r="8" spans="2:31">
      <c r="L8" s="143">
        <f>IFERROR(90-DEGREES(h)+DEGREES(d)-0.01,0)</f>
        <v>56.214284919562225</v>
      </c>
      <c r="M8" s="205">
        <f>IF(N8&gt;maxn,maxn,IF(N8&lt;mins,mins,N8))</f>
        <v>56.214284919562225</v>
      </c>
      <c r="N8" s="206">
        <f>N7-step</f>
        <v>56.654385469158136</v>
      </c>
      <c r="O8" s="207">
        <f>RADIANS(M8)</f>
        <v>0.98112435850055657</v>
      </c>
      <c r="P8" s="138">
        <f>IFERROR(DEGREES(grt+ACOS((SIN(h)-SIN(d)*SIN(O8))/COS(d)/COS(O8))),#N/A)</f>
        <v>305.18814175843062</v>
      </c>
      <c r="Q8" s="138">
        <f>IFERROR(DEGREES(grt-ACOS((SIN(h)-SIN(d)*SIN(O8))/COS(d)/COS(O8))),#N/A)</f>
        <v>302.95501773285088</v>
      </c>
      <c r="R8" s="138" t="e">
        <f t="shared" ref="R8:R39" si="0">IFERROR(DEGREES(grt_+ACOS((SIN(h_)-SIN(d_)*SIN(O8))/COS(d_)/COS(O8))),#N/A)</f>
        <v>#N/A</v>
      </c>
      <c r="S8" s="139" t="e">
        <f t="shared" ref="S8:S39" si="1">IFERROR(DEGREES(grt_-ACOS((SIN(h_)-SIN(d_)*SIN(O8))/COS(d_)/COS(O8))),#N/A)</f>
        <v>#N/A</v>
      </c>
      <c r="T8" s="140">
        <f>IF(P8&lt;0,ABS(P8),IF(P8&gt;360,-(P8-360),IF(AND(P8&gt;180,P8&lt;360),ABS(360-P8),-P8)))</f>
        <v>54.811858241569382</v>
      </c>
      <c r="U8" s="141">
        <f>IF(Q8&lt;0,ABS(Q8),IF(Q8&gt;360,Q8-(Q8-360),IF(AND(Q8&gt;180,Q8&lt;360),ABS(360-Q8),-Q8)))</f>
        <v>57.044982267149123</v>
      </c>
      <c r="V8" s="142" t="e">
        <f>IF(R8&lt;0,ABS(R8),IF(R8&gt;360,-(R8-360),IF(AND(R8&gt;180,R8&lt;360),ABS(360-R8),-R8)))</f>
        <v>#N/A</v>
      </c>
      <c r="W8" s="142" t="e">
        <f>IF(S8&lt;0,ABS(S8),IF(S8&gt;360,-(S8-360),IF(AND(S8&gt;180,S8&lt;360),ABS(360-S8),-S8)))</f>
        <v>#N/A</v>
      </c>
      <c r="X8" s="142"/>
      <c r="Y8" s="198"/>
      <c r="AA8" s="157"/>
      <c r="AB8" s="158"/>
      <c r="AC8" s="159"/>
      <c r="AD8" s="160" t="s">
        <v>68</v>
      </c>
      <c r="AE8" s="161">
        <f>MIN(L8:L9)</f>
        <v>37.868100554646311</v>
      </c>
    </row>
    <row r="9" spans="2:31" ht="17" thickBot="1">
      <c r="L9" s="144">
        <f>IFERROR(90-DEGREES(h_)+DEGREES(d_)-0.01,0)</f>
        <v>37.868100554646311</v>
      </c>
      <c r="M9" s="205">
        <f>IF(N9&gt;maxn,maxn,IF(N9&lt;mins,mins,N9))</f>
        <v>56.214284919562225</v>
      </c>
      <c r="N9" s="206">
        <f t="shared" ref="N9:N71" si="2">N8-step</f>
        <v>56.271093940290548</v>
      </c>
      <c r="O9" s="207">
        <f>RADIANS(M9)</f>
        <v>0.98112435850055657</v>
      </c>
      <c r="P9" s="138">
        <f>IFERROR(DEGREES(grt+ACOS((SIN(h)-SIN(d)*SIN(O9))/COS(d)/COS(O9))),#N/A)</f>
        <v>305.18814175843062</v>
      </c>
      <c r="Q9" s="138">
        <f>IFERROR(DEGREES(grt-ACOS((SIN(h)-SIN(d)*SIN(O9))/COS(d)/COS(O9))),#N/A)</f>
        <v>302.95501773285088</v>
      </c>
      <c r="R9" s="138" t="e">
        <f t="shared" si="0"/>
        <v>#N/A</v>
      </c>
      <c r="S9" s="139" t="e">
        <f t="shared" si="1"/>
        <v>#N/A</v>
      </c>
      <c r="T9" s="140">
        <f t="shared" ref="T9:T38" si="3">IF(P9&lt;0,ABS(P9),IF(P9&gt;360,-(P9-360),IF(AND(P9&gt;180,P9&lt;360),ABS(360-P9),-P9)))</f>
        <v>54.811858241569382</v>
      </c>
      <c r="U9" s="141">
        <f t="shared" ref="U9:U38" si="4">IF(Q9&lt;0,ABS(Q9),IF(Q9&gt;360,Q9-(Q9-360),IF(AND(Q9&gt;180,Q9&lt;360),ABS(360-Q9),-Q9)))</f>
        <v>57.044982267149123</v>
      </c>
      <c r="V9" s="142" t="e">
        <f t="shared" ref="V9:V38" si="5">IF(R9&lt;0,ABS(R9),IF(R9&gt;360,-(R9-360),IF(AND(R9&gt;180,R9&lt;360),ABS(360-R9),-R9)))</f>
        <v>#N/A</v>
      </c>
      <c r="W9" s="142" t="e">
        <f t="shared" ref="W9:W38" si="6">IF(S9&lt;0,ABS(S9),IF(S9&gt;360,-(S9-360),IF(AND(S9&gt;180,S9&lt;360),ABS(360-S9),-S9)))</f>
        <v>#N/A</v>
      </c>
      <c r="X9" s="142"/>
      <c r="Y9" s="198"/>
      <c r="AA9" s="152"/>
      <c r="AB9" s="153"/>
      <c r="AC9" s="154"/>
      <c r="AD9" s="155" t="s">
        <v>69</v>
      </c>
      <c r="AE9" s="156">
        <f>MAX(L192:L193)</f>
        <v>6.438195187504073</v>
      </c>
    </row>
    <row r="10" spans="2:31">
      <c r="M10" s="205">
        <f>IF(N10&gt;maxn,maxn,IF(N10&lt;mins,mins,N10))</f>
        <v>55.88780241142296</v>
      </c>
      <c r="N10" s="206">
        <f t="shared" si="2"/>
        <v>55.88780241142296</v>
      </c>
      <c r="O10" s="207">
        <f>RADIANS(M10)</f>
        <v>0.97542616378335723</v>
      </c>
      <c r="P10" s="138">
        <f>IFERROR(DEGREES(grt+ACOS((SIN(h)-SIN(d)*SIN(O10))/COS(d)/COS(O10))),#N/A)</f>
        <v>310.51075599986217</v>
      </c>
      <c r="Q10" s="138">
        <f>IFERROR(DEGREES(grt-ACOS((SIN(h)-SIN(d)*SIN(O10))/COS(d)/COS(O10))),#N/A)</f>
        <v>297.63240349141938</v>
      </c>
      <c r="R10" s="138" t="e">
        <f t="shared" si="0"/>
        <v>#N/A</v>
      </c>
      <c r="S10" s="139" t="e">
        <f t="shared" si="1"/>
        <v>#N/A</v>
      </c>
      <c r="T10" s="140">
        <f t="shared" si="3"/>
        <v>49.48924400013783</v>
      </c>
      <c r="U10" s="141">
        <f t="shared" si="4"/>
        <v>62.367596508580618</v>
      </c>
      <c r="V10" s="142" t="e">
        <f t="shared" si="5"/>
        <v>#N/A</v>
      </c>
      <c r="W10" s="142" t="e">
        <f t="shared" si="6"/>
        <v>#N/A</v>
      </c>
      <c r="X10" s="142"/>
      <c r="Y10" s="198"/>
      <c r="AA10" s="162"/>
      <c r="AB10" s="159"/>
      <c r="AC10" s="159"/>
      <c r="AD10" s="163" t="s">
        <v>70</v>
      </c>
      <c r="AE10" s="161">
        <f>IF(minn=0,AE6,minn)</f>
        <v>37.868100554646311</v>
      </c>
    </row>
    <row r="11" spans="2:31">
      <c r="M11" s="205">
        <f t="shared" ref="M11:M38" si="7">IF(N11&gt;maxn,maxn,IF(N11&lt;mins,mins,N11))</f>
        <v>55.504510882555373</v>
      </c>
      <c r="N11" s="206">
        <f>N10-step</f>
        <v>55.504510882555373</v>
      </c>
      <c r="O11" s="207">
        <f t="shared" ref="O11:O38" si="8">RADIANS(M11)</f>
        <v>0.96873646460961493</v>
      </c>
      <c r="P11" s="138">
        <f t="shared" ref="P11:P38" si="9">IFERROR(DEGREES(grt+ACOS((SIN(h)-SIN(d)*SIN(O11))/COS(d)/COS(O11))),#N/A)</f>
        <v>313.42534829648929</v>
      </c>
      <c r="Q11" s="138">
        <f t="shared" ref="Q11:Q38" si="10">IFERROR(DEGREES(grt-ACOS((SIN(h)-SIN(d)*SIN(O11))/COS(d)/COS(O11))),#N/A)</f>
        <v>294.71781119479226</v>
      </c>
      <c r="R11" s="138" t="e">
        <f t="shared" si="0"/>
        <v>#N/A</v>
      </c>
      <c r="S11" s="139" t="e">
        <f t="shared" si="1"/>
        <v>#N/A</v>
      </c>
      <c r="T11" s="140">
        <f t="shared" si="3"/>
        <v>46.57465170351071</v>
      </c>
      <c r="U11" s="141">
        <f t="shared" si="4"/>
        <v>65.282188805207738</v>
      </c>
      <c r="V11" s="142" t="e">
        <f t="shared" si="5"/>
        <v>#N/A</v>
      </c>
      <c r="W11" s="142" t="e">
        <f t="shared" si="6"/>
        <v>#N/A</v>
      </c>
      <c r="X11" s="142"/>
      <c r="Y11" s="198"/>
      <c r="AA11" s="164"/>
      <c r="AB11" s="154"/>
      <c r="AC11" s="154"/>
      <c r="AD11" s="165" t="s">
        <v>71</v>
      </c>
      <c r="AE11" s="156">
        <f>IF(maxs=0,AE7,maxs)</f>
        <v>6.438195187504073</v>
      </c>
    </row>
    <row r="12" spans="2:31">
      <c r="M12" s="205">
        <f t="shared" si="7"/>
        <v>55.121219353687785</v>
      </c>
      <c r="N12" s="206">
        <f t="shared" si="2"/>
        <v>55.121219353687785</v>
      </c>
      <c r="O12" s="207">
        <f t="shared" si="8"/>
        <v>0.96204676543587264</v>
      </c>
      <c r="P12" s="138">
        <f t="shared" si="9"/>
        <v>315.57278779088557</v>
      </c>
      <c r="Q12" s="138">
        <f t="shared" si="10"/>
        <v>292.57037170039592</v>
      </c>
      <c r="R12" s="138" t="e">
        <f t="shared" si="0"/>
        <v>#N/A</v>
      </c>
      <c r="S12" s="139" t="e">
        <f t="shared" si="1"/>
        <v>#N/A</v>
      </c>
      <c r="T12" s="140">
        <f t="shared" si="3"/>
        <v>44.42721220911443</v>
      </c>
      <c r="U12" s="141">
        <f t="shared" si="4"/>
        <v>67.429628299604076</v>
      </c>
      <c r="V12" s="142" t="e">
        <f t="shared" si="5"/>
        <v>#N/A</v>
      </c>
      <c r="W12" s="142" t="e">
        <f t="shared" si="6"/>
        <v>#N/A</v>
      </c>
      <c r="X12" s="142"/>
      <c r="Y12" s="198"/>
      <c r="AA12" s="157"/>
      <c r="AB12" s="158"/>
      <c r="AC12" s="159"/>
      <c r="AD12" s="160" t="s">
        <v>72</v>
      </c>
      <c r="AE12" s="166">
        <f>maxn-mins</f>
        <v>68.155339582172275</v>
      </c>
    </row>
    <row r="13" spans="2:31">
      <c r="M13" s="205">
        <f t="shared" si="7"/>
        <v>54.737927824820197</v>
      </c>
      <c r="N13" s="206">
        <f t="shared" si="2"/>
        <v>54.737927824820197</v>
      </c>
      <c r="O13" s="207">
        <f t="shared" si="8"/>
        <v>0.95535706626213035</v>
      </c>
      <c r="P13" s="138">
        <f t="shared" si="9"/>
        <v>317.3324786547941</v>
      </c>
      <c r="Q13" s="138">
        <f t="shared" si="10"/>
        <v>290.81068083648745</v>
      </c>
      <c r="R13" s="138" t="e">
        <f t="shared" si="0"/>
        <v>#N/A</v>
      </c>
      <c r="S13" s="139" t="e">
        <f t="shared" si="1"/>
        <v>#N/A</v>
      </c>
      <c r="T13" s="140">
        <f t="shared" si="3"/>
        <v>42.667521345205898</v>
      </c>
      <c r="U13" s="141">
        <f t="shared" si="4"/>
        <v>69.18931916351255</v>
      </c>
      <c r="V13" s="142" t="e">
        <f t="shared" si="5"/>
        <v>#N/A</v>
      </c>
      <c r="W13" s="142" t="e">
        <f t="shared" si="6"/>
        <v>#N/A</v>
      </c>
      <c r="X13" s="142"/>
      <c r="Y13" s="198"/>
      <c r="AA13" s="164"/>
      <c r="AB13" s="154"/>
      <c r="AC13" s="154"/>
      <c r="AD13" s="155" t="s">
        <v>73</v>
      </c>
      <c r="AE13" s="167">
        <f>AE10-AE11</f>
        <v>31.42990536714224</v>
      </c>
    </row>
    <row r="14" spans="2:31">
      <c r="M14" s="205">
        <f t="shared" si="7"/>
        <v>54.354636295952609</v>
      </c>
      <c r="N14" s="206">
        <f t="shared" si="2"/>
        <v>54.354636295952609</v>
      </c>
      <c r="O14" s="207">
        <f t="shared" si="8"/>
        <v>0.94866736708838806</v>
      </c>
      <c r="P14" s="138">
        <f t="shared" si="9"/>
        <v>318.8447542349918</v>
      </c>
      <c r="Q14" s="138">
        <f t="shared" si="10"/>
        <v>289.29840525628975</v>
      </c>
      <c r="R14" s="138" t="e">
        <f t="shared" si="0"/>
        <v>#N/A</v>
      </c>
      <c r="S14" s="139" t="e">
        <f t="shared" si="1"/>
        <v>#N/A</v>
      </c>
      <c r="T14" s="140">
        <f t="shared" si="3"/>
        <v>41.155245765008203</v>
      </c>
      <c r="U14" s="141">
        <f t="shared" si="4"/>
        <v>70.701594743710245</v>
      </c>
      <c r="V14" s="142" t="e">
        <f t="shared" si="5"/>
        <v>#N/A</v>
      </c>
      <c r="W14" s="142" t="e">
        <f t="shared" si="6"/>
        <v>#N/A</v>
      </c>
      <c r="X14" s="142"/>
      <c r="Y14" s="198"/>
      <c r="AA14" s="168"/>
      <c r="AB14" s="169"/>
      <c r="AC14" s="159"/>
      <c r="AD14" s="160" t="s">
        <v>74</v>
      </c>
      <c r="AE14" s="170">
        <v>178</v>
      </c>
    </row>
    <row r="15" spans="2:31">
      <c r="M15" s="205">
        <f t="shared" si="7"/>
        <v>53.971344767085021</v>
      </c>
      <c r="N15" s="206">
        <f t="shared" si="2"/>
        <v>53.971344767085021</v>
      </c>
      <c r="O15" s="207">
        <f t="shared" si="8"/>
        <v>0.94197766791464577</v>
      </c>
      <c r="P15" s="138">
        <f t="shared" si="9"/>
        <v>320.18042858816824</v>
      </c>
      <c r="Q15" s="138">
        <f t="shared" si="10"/>
        <v>287.96273090311331</v>
      </c>
      <c r="R15" s="138" t="e">
        <f t="shared" si="0"/>
        <v>#N/A</v>
      </c>
      <c r="S15" s="139" t="e">
        <f t="shared" si="1"/>
        <v>#N/A</v>
      </c>
      <c r="T15" s="140">
        <f t="shared" si="3"/>
        <v>39.81957141183176</v>
      </c>
      <c r="U15" s="141">
        <f t="shared" si="4"/>
        <v>72.037269096886689</v>
      </c>
      <c r="V15" s="142" t="e">
        <f t="shared" si="5"/>
        <v>#N/A</v>
      </c>
      <c r="W15" s="142" t="e">
        <f t="shared" si="6"/>
        <v>#N/A</v>
      </c>
      <c r="X15" s="142"/>
      <c r="Y15" s="198"/>
      <c r="AA15" s="171"/>
      <c r="AB15" s="172"/>
      <c r="AC15" s="154"/>
      <c r="AD15" s="155" t="s">
        <v>75</v>
      </c>
      <c r="AE15" s="173">
        <f>ROUNDDOWN(AE13*AE14/AE12,0)</f>
        <v>82</v>
      </c>
    </row>
    <row r="16" spans="2:31">
      <c r="M16" s="205">
        <f t="shared" si="7"/>
        <v>53.588053238217434</v>
      </c>
      <c r="N16" s="206">
        <f t="shared" si="2"/>
        <v>53.588053238217434</v>
      </c>
      <c r="O16" s="207">
        <f t="shared" si="8"/>
        <v>0.93528796874090347</v>
      </c>
      <c r="P16" s="138">
        <f t="shared" si="9"/>
        <v>321.38130883390568</v>
      </c>
      <c r="Q16" s="138">
        <f t="shared" si="10"/>
        <v>286.76185065737587</v>
      </c>
      <c r="R16" s="138" t="e">
        <f t="shared" si="0"/>
        <v>#N/A</v>
      </c>
      <c r="S16" s="139" t="e">
        <f t="shared" si="1"/>
        <v>#N/A</v>
      </c>
      <c r="T16" s="140">
        <f t="shared" si="3"/>
        <v>38.618691166094322</v>
      </c>
      <c r="U16" s="141">
        <f t="shared" si="4"/>
        <v>73.238149342624126</v>
      </c>
      <c r="V16" s="142" t="e">
        <f t="shared" si="5"/>
        <v>#N/A</v>
      </c>
      <c r="W16" s="142" t="e">
        <f t="shared" si="6"/>
        <v>#N/A</v>
      </c>
      <c r="X16" s="142"/>
      <c r="Y16" s="198"/>
      <c r="AA16" s="168"/>
      <c r="AB16" s="169"/>
      <c r="AC16" s="159"/>
      <c r="AD16" s="160" t="s">
        <v>76</v>
      </c>
      <c r="AE16" s="174">
        <f>ROUNDUP((AE14-AE15)/2,0)</f>
        <v>48</v>
      </c>
    </row>
    <row r="17" spans="13:31" ht="17" thickBot="1">
      <c r="M17" s="205">
        <f t="shared" si="7"/>
        <v>53.204761709349846</v>
      </c>
      <c r="N17" s="206">
        <f t="shared" si="2"/>
        <v>53.204761709349846</v>
      </c>
      <c r="O17" s="207">
        <f t="shared" si="8"/>
        <v>0.92859826956716118</v>
      </c>
      <c r="P17" s="138">
        <f t="shared" si="9"/>
        <v>322.47459532583605</v>
      </c>
      <c r="Q17" s="138">
        <f t="shared" si="10"/>
        <v>285.6685641654455</v>
      </c>
      <c r="R17" s="138" t="e">
        <f t="shared" si="0"/>
        <v>#N/A</v>
      </c>
      <c r="S17" s="139" t="e">
        <f t="shared" si="1"/>
        <v>#N/A</v>
      </c>
      <c r="T17" s="140">
        <f t="shared" si="3"/>
        <v>37.525404674163951</v>
      </c>
      <c r="U17" s="141">
        <f t="shared" si="4"/>
        <v>74.331435834554497</v>
      </c>
      <c r="V17" s="142" t="e">
        <f t="shared" si="5"/>
        <v>#N/A</v>
      </c>
      <c r="W17" s="142" t="e">
        <f t="shared" si="6"/>
        <v>#N/A</v>
      </c>
      <c r="X17" s="142"/>
      <c r="Y17" s="198"/>
      <c r="AA17" s="175"/>
      <c r="AB17" s="176"/>
      <c r="AC17" s="177"/>
      <c r="AD17" s="178" t="s">
        <v>77</v>
      </c>
      <c r="AE17" s="179">
        <f>IF(minn=0,AE12/AE15,AE13/AE15)</f>
        <v>0.38329152886758827</v>
      </c>
    </row>
    <row r="18" spans="13:31">
      <c r="M18" s="205">
        <f t="shared" si="7"/>
        <v>52.821470180482258</v>
      </c>
      <c r="N18" s="206">
        <f t="shared" si="2"/>
        <v>52.821470180482258</v>
      </c>
      <c r="O18" s="207">
        <f t="shared" si="8"/>
        <v>0.92190857039341878</v>
      </c>
      <c r="P18" s="138">
        <f t="shared" si="9"/>
        <v>323.47920404510273</v>
      </c>
      <c r="Q18" s="138">
        <f t="shared" si="10"/>
        <v>284.66395544617876</v>
      </c>
      <c r="R18" s="138" t="e">
        <f t="shared" si="0"/>
        <v>#N/A</v>
      </c>
      <c r="S18" s="139" t="e">
        <f t="shared" si="1"/>
        <v>#N/A</v>
      </c>
      <c r="T18" s="140">
        <f t="shared" si="3"/>
        <v>36.520795954897267</v>
      </c>
      <c r="U18" s="141">
        <f t="shared" si="4"/>
        <v>75.336044553821239</v>
      </c>
      <c r="V18" s="142" t="e">
        <f t="shared" si="5"/>
        <v>#N/A</v>
      </c>
      <c r="W18" s="142" t="e">
        <f t="shared" si="6"/>
        <v>#N/A</v>
      </c>
      <c r="X18" s="142"/>
      <c r="Y18" s="198"/>
    </row>
    <row r="19" spans="13:31">
      <c r="M19" s="205">
        <f t="shared" si="7"/>
        <v>52.43817865161467</v>
      </c>
      <c r="N19" s="206">
        <f t="shared" si="2"/>
        <v>52.43817865161467</v>
      </c>
      <c r="O19" s="207">
        <f t="shared" si="8"/>
        <v>0.91521887121967649</v>
      </c>
      <c r="P19" s="138">
        <f t="shared" si="9"/>
        <v>324.40894609234812</v>
      </c>
      <c r="Q19" s="138">
        <f t="shared" si="10"/>
        <v>283.73421339893343</v>
      </c>
      <c r="R19" s="138" t="e">
        <f t="shared" si="0"/>
        <v>#N/A</v>
      </c>
      <c r="S19" s="139" t="e">
        <f t="shared" si="1"/>
        <v>#N/A</v>
      </c>
      <c r="T19" s="140">
        <f t="shared" si="3"/>
        <v>35.591053907651883</v>
      </c>
      <c r="U19" s="141">
        <f t="shared" si="4"/>
        <v>76.265786601066566</v>
      </c>
      <c r="V19" s="142" t="e">
        <f t="shared" si="5"/>
        <v>#N/A</v>
      </c>
      <c r="W19" s="142" t="e">
        <f t="shared" si="6"/>
        <v>#N/A</v>
      </c>
      <c r="X19" s="142"/>
      <c r="Y19" s="198"/>
    </row>
    <row r="20" spans="13:31">
      <c r="M20" s="205">
        <f t="shared" si="7"/>
        <v>52.054887122747083</v>
      </c>
      <c r="N20" s="206">
        <f t="shared" si="2"/>
        <v>52.054887122747083</v>
      </c>
      <c r="O20" s="207">
        <f t="shared" si="8"/>
        <v>0.9085291720459342</v>
      </c>
      <c r="P20" s="138">
        <f t="shared" si="9"/>
        <v>325.27428750995301</v>
      </c>
      <c r="Q20" s="138">
        <f t="shared" si="10"/>
        <v>282.86887198132848</v>
      </c>
      <c r="R20" s="138" t="e">
        <f t="shared" si="0"/>
        <v>#N/A</v>
      </c>
      <c r="S20" s="139" t="e">
        <f t="shared" si="1"/>
        <v>#N/A</v>
      </c>
      <c r="T20" s="140">
        <f t="shared" si="3"/>
        <v>34.725712490046988</v>
      </c>
      <c r="U20" s="141">
        <f t="shared" si="4"/>
        <v>77.131128018671518</v>
      </c>
      <c r="V20" s="142" t="e">
        <f t="shared" si="5"/>
        <v>#N/A</v>
      </c>
      <c r="W20" s="142" t="e">
        <f t="shared" si="6"/>
        <v>#N/A</v>
      </c>
      <c r="X20" s="142"/>
      <c r="Y20" s="198"/>
    </row>
    <row r="21" spans="13:31">
      <c r="M21" s="205">
        <f t="shared" si="7"/>
        <v>51.671595593879495</v>
      </c>
      <c r="N21" s="206">
        <f t="shared" si="2"/>
        <v>51.671595593879495</v>
      </c>
      <c r="O21" s="207">
        <f t="shared" si="8"/>
        <v>0.90183947287219191</v>
      </c>
      <c r="P21" s="138">
        <f t="shared" si="9"/>
        <v>326.08339579591342</v>
      </c>
      <c r="Q21" s="138">
        <f t="shared" si="10"/>
        <v>282.05976369536808</v>
      </c>
      <c r="R21" s="138" t="e">
        <f t="shared" si="0"/>
        <v>#N/A</v>
      </c>
      <c r="S21" s="139" t="e">
        <f t="shared" si="1"/>
        <v>#N/A</v>
      </c>
      <c r="T21" s="140">
        <f t="shared" si="3"/>
        <v>33.916604204086582</v>
      </c>
      <c r="U21" s="141">
        <f t="shared" si="4"/>
        <v>77.940236304631924</v>
      </c>
      <c r="V21" s="142" t="e">
        <f t="shared" si="5"/>
        <v>#N/A</v>
      </c>
      <c r="W21" s="142" t="e">
        <f t="shared" si="6"/>
        <v>#N/A</v>
      </c>
      <c r="X21" s="142"/>
      <c r="Y21" s="198"/>
    </row>
    <row r="22" spans="13:31">
      <c r="M22" s="205">
        <f t="shared" si="7"/>
        <v>51.288304065011907</v>
      </c>
      <c r="N22" s="206">
        <f t="shared" si="2"/>
        <v>51.288304065011907</v>
      </c>
      <c r="O22" s="207">
        <f t="shared" si="8"/>
        <v>0.89514977369844961</v>
      </c>
      <c r="P22" s="138">
        <f t="shared" si="9"/>
        <v>326.8427980323774</v>
      </c>
      <c r="Q22" s="138">
        <f t="shared" si="10"/>
        <v>281.30036145890415</v>
      </c>
      <c r="R22" s="138" t="e">
        <f t="shared" si="0"/>
        <v>#N/A</v>
      </c>
      <c r="S22" s="139" t="e">
        <f t="shared" si="1"/>
        <v>#N/A</v>
      </c>
      <c r="T22" s="140">
        <f t="shared" si="3"/>
        <v>33.157201967622598</v>
      </c>
      <c r="U22" s="141">
        <f t="shared" si="4"/>
        <v>78.699638541095851</v>
      </c>
      <c r="V22" s="142" t="e">
        <f t="shared" si="5"/>
        <v>#N/A</v>
      </c>
      <c r="W22" s="142" t="e">
        <f t="shared" si="6"/>
        <v>#N/A</v>
      </c>
      <c r="X22" s="142"/>
      <c r="Y22" s="198"/>
    </row>
    <row r="23" spans="13:31">
      <c r="M23" s="205">
        <f t="shared" si="7"/>
        <v>50.905012536144319</v>
      </c>
      <c r="N23" s="206">
        <f t="shared" si="2"/>
        <v>50.905012536144319</v>
      </c>
      <c r="O23" s="207">
        <f t="shared" si="8"/>
        <v>0.88846007452470732</v>
      </c>
      <c r="P23" s="138">
        <f t="shared" si="9"/>
        <v>327.55781377985653</v>
      </c>
      <c r="Q23" s="138">
        <f t="shared" si="10"/>
        <v>280.58534571142496</v>
      </c>
      <c r="R23" s="138" t="e">
        <f t="shared" si="0"/>
        <v>#N/A</v>
      </c>
      <c r="S23" s="139" t="e">
        <f t="shared" si="1"/>
        <v>#N/A</v>
      </c>
      <c r="T23" s="140">
        <f t="shared" si="3"/>
        <v>32.442186220143469</v>
      </c>
      <c r="U23" s="141">
        <f t="shared" si="4"/>
        <v>79.414654288575036</v>
      </c>
      <c r="V23" s="142" t="e">
        <f>IF(R23&lt;0,ABS(R23),IF(R23&gt;360,-(R23-360),IF(AND(R23&gt;180,R23&lt;360),ABS(360-R23),-R23)))</f>
        <v>#N/A</v>
      </c>
      <c r="W23" s="142" t="e">
        <f t="shared" si="6"/>
        <v>#N/A</v>
      </c>
      <c r="X23" s="142"/>
      <c r="Y23" s="198"/>
    </row>
    <row r="24" spans="13:31">
      <c r="M24" s="205">
        <f t="shared" si="7"/>
        <v>50.521721007276732</v>
      </c>
      <c r="N24" s="206">
        <f t="shared" si="2"/>
        <v>50.521721007276732</v>
      </c>
      <c r="O24" s="207">
        <f t="shared" si="8"/>
        <v>0.88177037535096503</v>
      </c>
      <c r="P24" s="138">
        <f t="shared" si="9"/>
        <v>328.23285052667313</v>
      </c>
      <c r="Q24" s="138">
        <f t="shared" si="10"/>
        <v>279.91030896460836</v>
      </c>
      <c r="R24" s="138" t="e">
        <f t="shared" si="0"/>
        <v>#N/A</v>
      </c>
      <c r="S24" s="139" t="e">
        <f t="shared" si="1"/>
        <v>#N/A</v>
      </c>
      <c r="T24" s="140">
        <f t="shared" si="3"/>
        <v>31.767149473326867</v>
      </c>
      <c r="U24" s="141">
        <f t="shared" si="4"/>
        <v>80.089691035391638</v>
      </c>
      <c r="V24" s="142" t="e">
        <f t="shared" si="5"/>
        <v>#N/A</v>
      </c>
      <c r="W24" s="142" t="e">
        <f t="shared" si="6"/>
        <v>#N/A</v>
      </c>
      <c r="X24" s="142"/>
      <c r="Y24" s="198"/>
    </row>
    <row r="25" spans="13:31">
      <c r="M25" s="205">
        <f t="shared" si="7"/>
        <v>50.138429478409144</v>
      </c>
      <c r="N25" s="206">
        <f t="shared" si="2"/>
        <v>50.138429478409144</v>
      </c>
      <c r="O25" s="207">
        <f t="shared" si="8"/>
        <v>0.87508067617722274</v>
      </c>
      <c r="P25" s="138">
        <f t="shared" si="9"/>
        <v>328.8716116612195</v>
      </c>
      <c r="Q25" s="138">
        <f t="shared" si="10"/>
        <v>279.27154783006205</v>
      </c>
      <c r="R25" s="138" t="e">
        <f t="shared" si="0"/>
        <v>#N/A</v>
      </c>
      <c r="S25" s="139" t="e">
        <f t="shared" si="1"/>
        <v>#N/A</v>
      </c>
      <c r="T25" s="140">
        <f t="shared" si="3"/>
        <v>31.128388338780496</v>
      </c>
      <c r="U25" s="141">
        <f t="shared" si="4"/>
        <v>80.728452169937952</v>
      </c>
      <c r="V25" s="142" t="e">
        <f t="shared" si="5"/>
        <v>#N/A</v>
      </c>
      <c r="W25" s="142" t="e">
        <f t="shared" si="6"/>
        <v>#N/A</v>
      </c>
      <c r="X25" s="142"/>
      <c r="Y25" s="198"/>
    </row>
    <row r="26" spans="13:31">
      <c r="M26" s="205">
        <f t="shared" si="7"/>
        <v>49.755137949541556</v>
      </c>
      <c r="N26" s="206">
        <f t="shared" si="2"/>
        <v>49.755137949541556</v>
      </c>
      <c r="O26" s="207">
        <f t="shared" si="8"/>
        <v>0.86839097700348045</v>
      </c>
      <c r="P26" s="138">
        <f t="shared" si="9"/>
        <v>329.47724676394853</v>
      </c>
      <c r="Q26" s="138">
        <f t="shared" si="10"/>
        <v>278.66591272733302</v>
      </c>
      <c r="R26" s="138" t="e">
        <f t="shared" si="0"/>
        <v>#N/A</v>
      </c>
      <c r="S26" s="139" t="e">
        <f t="shared" si="1"/>
        <v>#N/A</v>
      </c>
      <c r="T26" s="140">
        <f t="shared" si="3"/>
        <v>30.522753236051472</v>
      </c>
      <c r="U26" s="141">
        <f t="shared" si="4"/>
        <v>81.334087272666977</v>
      </c>
      <c r="V26" s="142" t="e">
        <f t="shared" si="5"/>
        <v>#N/A</v>
      </c>
      <c r="W26" s="142" t="e">
        <f t="shared" si="6"/>
        <v>#N/A</v>
      </c>
      <c r="X26" s="142"/>
      <c r="Y26" s="198"/>
    </row>
    <row r="27" spans="13:31">
      <c r="M27" s="205">
        <f t="shared" si="7"/>
        <v>49.371846420673968</v>
      </c>
      <c r="N27" s="206">
        <f t="shared" si="2"/>
        <v>49.371846420673968</v>
      </c>
      <c r="O27" s="207">
        <f t="shared" si="8"/>
        <v>0.86170127782973815</v>
      </c>
      <c r="P27" s="138">
        <f t="shared" si="9"/>
        <v>330.0524627006331</v>
      </c>
      <c r="Q27" s="138">
        <f t="shared" si="10"/>
        <v>278.09069679064845</v>
      </c>
      <c r="R27" s="138" t="e">
        <f t="shared" si="0"/>
        <v>#N/A</v>
      </c>
      <c r="S27" s="139" t="e">
        <f t="shared" si="1"/>
        <v>#N/A</v>
      </c>
      <c r="T27" s="140">
        <f t="shared" si="3"/>
        <v>29.9475372993669</v>
      </c>
      <c r="U27" s="141">
        <f t="shared" si="4"/>
        <v>81.909303209351549</v>
      </c>
      <c r="V27" s="142" t="e">
        <f t="shared" si="5"/>
        <v>#N/A</v>
      </c>
      <c r="W27" s="142" t="e">
        <f t="shared" si="6"/>
        <v>#N/A</v>
      </c>
      <c r="X27" s="142"/>
      <c r="Y27" s="198"/>
    </row>
    <row r="28" spans="13:31">
      <c r="M28" s="205">
        <f t="shared" si="7"/>
        <v>48.98855489180638</v>
      </c>
      <c r="N28" s="206">
        <f t="shared" si="2"/>
        <v>48.98855489180638</v>
      </c>
      <c r="O28" s="207">
        <f t="shared" si="8"/>
        <v>0.85501157865599586</v>
      </c>
      <c r="P28" s="138">
        <f t="shared" si="9"/>
        <v>330.59960737275082</v>
      </c>
      <c r="Q28" s="138">
        <f t="shared" si="10"/>
        <v>277.54355211853073</v>
      </c>
      <c r="R28" s="138" t="e">
        <f t="shared" si="0"/>
        <v>#N/A</v>
      </c>
      <c r="S28" s="139" t="e">
        <f t="shared" si="1"/>
        <v>#N/A</v>
      </c>
      <c r="T28" s="140">
        <f t="shared" si="3"/>
        <v>29.400392627249175</v>
      </c>
      <c r="U28" s="141">
        <f t="shared" si="4"/>
        <v>82.456447881469273</v>
      </c>
      <c r="V28" s="142" t="e">
        <f t="shared" si="5"/>
        <v>#N/A</v>
      </c>
      <c r="W28" s="142" t="e">
        <f t="shared" si="6"/>
        <v>#N/A</v>
      </c>
      <c r="X28" s="142"/>
      <c r="Y28" s="198"/>
    </row>
    <row r="29" spans="13:31">
      <c r="M29" s="205">
        <f t="shared" si="7"/>
        <v>48.605263362938793</v>
      </c>
      <c r="N29" s="206">
        <f t="shared" si="2"/>
        <v>48.605263362938793</v>
      </c>
      <c r="O29" s="207">
        <f t="shared" si="8"/>
        <v>0.84832187948225357</v>
      </c>
      <c r="P29" s="138">
        <f t="shared" si="9"/>
        <v>331.1207339557368</v>
      </c>
      <c r="Q29" s="138">
        <f t="shared" si="10"/>
        <v>277.0224255355447</v>
      </c>
      <c r="R29" s="138" t="e">
        <f t="shared" si="0"/>
        <v>#N/A</v>
      </c>
      <c r="S29" s="139" t="e">
        <f t="shared" si="1"/>
        <v>#N/A</v>
      </c>
      <c r="T29" s="140">
        <f t="shared" si="3"/>
        <v>28.879266044263204</v>
      </c>
      <c r="U29" s="141">
        <f t="shared" si="4"/>
        <v>82.977574464455301</v>
      </c>
      <c r="V29" s="142" t="e">
        <f t="shared" si="5"/>
        <v>#N/A</v>
      </c>
      <c r="W29" s="142" t="e">
        <f t="shared" si="6"/>
        <v>#N/A</v>
      </c>
      <c r="X29" s="142"/>
      <c r="Y29" s="198"/>
    </row>
    <row r="30" spans="13:31">
      <c r="M30" s="205">
        <f t="shared" si="7"/>
        <v>48.221971834071205</v>
      </c>
      <c r="N30" s="206">
        <f t="shared" si="2"/>
        <v>48.221971834071205</v>
      </c>
      <c r="O30" s="207">
        <f t="shared" si="8"/>
        <v>0.84163218030851128</v>
      </c>
      <c r="P30" s="138">
        <f t="shared" si="9"/>
        <v>331.61765093110972</v>
      </c>
      <c r="Q30" s="138">
        <f t="shared" si="10"/>
        <v>276.52550856017183</v>
      </c>
      <c r="R30" s="138" t="e">
        <f t="shared" si="0"/>
        <v>#N/A</v>
      </c>
      <c r="S30" s="139" t="e">
        <f t="shared" si="1"/>
        <v>#N/A</v>
      </c>
      <c r="T30" s="140">
        <f t="shared" si="3"/>
        <v>28.382349068890278</v>
      </c>
      <c r="U30" s="141">
        <f t="shared" si="4"/>
        <v>83.474491439828171</v>
      </c>
      <c r="V30" s="142" t="e">
        <f t="shared" si="5"/>
        <v>#N/A</v>
      </c>
      <c r="W30" s="142" t="e">
        <f t="shared" si="6"/>
        <v>#N/A</v>
      </c>
      <c r="X30" s="142"/>
      <c r="Y30" s="198"/>
    </row>
    <row r="31" spans="13:31">
      <c r="M31" s="205">
        <f t="shared" si="7"/>
        <v>47.838680305203617</v>
      </c>
      <c r="N31" s="206">
        <f t="shared" si="2"/>
        <v>47.838680305203617</v>
      </c>
      <c r="O31" s="207">
        <f t="shared" si="8"/>
        <v>0.83494248113476899</v>
      </c>
      <c r="P31" s="138">
        <f t="shared" si="9"/>
        <v>332.09196158977585</v>
      </c>
      <c r="Q31" s="138">
        <f t="shared" si="10"/>
        <v>276.0511979015057</v>
      </c>
      <c r="R31" s="138" t="e">
        <f t="shared" si="0"/>
        <v>#N/A</v>
      </c>
      <c r="S31" s="139" t="e">
        <f t="shared" si="1"/>
        <v>#N/A</v>
      </c>
      <c r="T31" s="140">
        <f t="shared" si="3"/>
        <v>27.908038410224151</v>
      </c>
      <c r="U31" s="141">
        <f t="shared" si="4"/>
        <v>83.948802098494298</v>
      </c>
      <c r="V31" s="142" t="e">
        <f t="shared" si="5"/>
        <v>#N/A</v>
      </c>
      <c r="W31" s="142" t="e">
        <f t="shared" si="6"/>
        <v>#N/A</v>
      </c>
      <c r="X31" s="142"/>
      <c r="Y31" s="198"/>
    </row>
    <row r="32" spans="13:31">
      <c r="M32" s="205">
        <f t="shared" si="7"/>
        <v>47.455388776336029</v>
      </c>
      <c r="N32" s="206">
        <f t="shared" si="2"/>
        <v>47.455388776336029</v>
      </c>
      <c r="O32" s="207">
        <f t="shared" si="8"/>
        <v>0.82825278196102659</v>
      </c>
      <c r="P32" s="138">
        <f t="shared" si="9"/>
        <v>332.54509560672187</v>
      </c>
      <c r="Q32" s="138">
        <f t="shared" si="10"/>
        <v>275.59806388455962</v>
      </c>
      <c r="R32" s="138" t="e">
        <f t="shared" si="0"/>
        <v>#N/A</v>
      </c>
      <c r="S32" s="139" t="e">
        <f t="shared" si="1"/>
        <v>#N/A</v>
      </c>
      <c r="T32" s="140">
        <f t="shared" si="3"/>
        <v>27.454904393278127</v>
      </c>
      <c r="U32" s="141">
        <f t="shared" si="4"/>
        <v>84.401936115440378</v>
      </c>
      <c r="V32" s="142" t="e">
        <f t="shared" si="5"/>
        <v>#N/A</v>
      </c>
      <c r="W32" s="142" t="e">
        <f t="shared" si="6"/>
        <v>#N/A</v>
      </c>
      <c r="X32" s="142"/>
      <c r="Y32" s="198"/>
    </row>
    <row r="33" spans="13:25">
      <c r="M33" s="205">
        <f t="shared" si="7"/>
        <v>47.072097247468442</v>
      </c>
      <c r="N33" s="206">
        <f t="shared" si="2"/>
        <v>47.072097247468442</v>
      </c>
      <c r="O33" s="207">
        <f t="shared" si="8"/>
        <v>0.82156308278728429</v>
      </c>
      <c r="P33" s="138">
        <f t="shared" si="9"/>
        <v>332.97833455904924</v>
      </c>
      <c r="Q33" s="138">
        <f t="shared" si="10"/>
        <v>275.16482493223231</v>
      </c>
      <c r="R33" s="138" t="e">
        <f t="shared" si="0"/>
        <v>#N/A</v>
      </c>
      <c r="S33" s="139" t="e">
        <f t="shared" si="1"/>
        <v>#N/A</v>
      </c>
      <c r="T33" s="140">
        <f t="shared" si="3"/>
        <v>27.021665440950756</v>
      </c>
      <c r="U33" s="141">
        <f t="shared" si="4"/>
        <v>84.835175067767693</v>
      </c>
      <c r="V33" s="142" t="e">
        <f t="shared" si="5"/>
        <v>#N/A</v>
      </c>
      <c r="W33" s="142" t="e">
        <f t="shared" si="6"/>
        <v>#N/A</v>
      </c>
      <c r="X33" s="142"/>
      <c r="Y33" s="198"/>
    </row>
    <row r="34" spans="13:25">
      <c r="M34" s="205">
        <f t="shared" si="7"/>
        <v>46.688805718600854</v>
      </c>
      <c r="N34" s="206">
        <f t="shared" si="2"/>
        <v>46.688805718600854</v>
      </c>
      <c r="O34" s="207">
        <f t="shared" si="8"/>
        <v>0.814873383613542</v>
      </c>
      <c r="P34" s="138">
        <f t="shared" si="9"/>
        <v>333.39283275703207</v>
      </c>
      <c r="Q34" s="138">
        <f t="shared" si="10"/>
        <v>274.75032673424948</v>
      </c>
      <c r="R34" s="138" t="e">
        <f t="shared" si="0"/>
        <v>#N/A</v>
      </c>
      <c r="S34" s="139" t="e">
        <f t="shared" si="1"/>
        <v>#N/A</v>
      </c>
      <c r="T34" s="140">
        <f t="shared" si="3"/>
        <v>26.607167242967932</v>
      </c>
      <c r="U34" s="141">
        <f t="shared" si="4"/>
        <v>85.249673265750516</v>
      </c>
      <c r="V34" s="142" t="e">
        <f t="shared" si="5"/>
        <v>#N/A</v>
      </c>
      <c r="W34" s="142" t="e">
        <f t="shared" si="6"/>
        <v>#N/A</v>
      </c>
      <c r="X34" s="142"/>
      <c r="Y34" s="198"/>
    </row>
    <row r="35" spans="13:25">
      <c r="M35" s="205">
        <f t="shared" si="7"/>
        <v>46.305514189733266</v>
      </c>
      <c r="N35" s="206">
        <f t="shared" si="2"/>
        <v>46.305514189733266</v>
      </c>
      <c r="O35" s="207">
        <f t="shared" si="8"/>
        <v>0.80818368443979971</v>
      </c>
      <c r="P35" s="138">
        <f t="shared" si="9"/>
        <v>333.78963440518748</v>
      </c>
      <c r="Q35" s="138">
        <f t="shared" si="10"/>
        <v>274.35352508609407</v>
      </c>
      <c r="R35" s="138" t="e">
        <f t="shared" si="0"/>
        <v>#N/A</v>
      </c>
      <c r="S35" s="139" t="e">
        <f t="shared" si="1"/>
        <v>#N/A</v>
      </c>
      <c r="T35" s="140">
        <f t="shared" si="3"/>
        <v>26.210365594812515</v>
      </c>
      <c r="U35" s="141">
        <f t="shared" si="4"/>
        <v>85.646474913905934</v>
      </c>
      <c r="V35" s="142" t="e">
        <f t="shared" si="5"/>
        <v>#N/A</v>
      </c>
      <c r="W35" s="142" t="e">
        <f t="shared" si="6"/>
        <v>#N/A</v>
      </c>
      <c r="X35" s="142"/>
      <c r="Y35" s="198"/>
    </row>
    <row r="36" spans="13:25">
      <c r="M36" s="205">
        <f t="shared" si="7"/>
        <v>45.922222660865678</v>
      </c>
      <c r="N36" s="206">
        <f t="shared" si="2"/>
        <v>45.922222660865678</v>
      </c>
      <c r="O36" s="207">
        <f t="shared" si="8"/>
        <v>0.80149398526605742</v>
      </c>
      <c r="P36" s="138">
        <f t="shared" si="9"/>
        <v>334.16968785863378</v>
      </c>
      <c r="Q36" s="138">
        <f t="shared" si="10"/>
        <v>273.97347163264777</v>
      </c>
      <c r="R36" s="138" t="e">
        <f t="shared" si="0"/>
        <v>#N/A</v>
      </c>
      <c r="S36" s="139" t="e">
        <f t="shared" si="1"/>
        <v>#N/A</v>
      </c>
      <c r="T36" s="140">
        <f t="shared" si="3"/>
        <v>25.830312141366221</v>
      </c>
      <c r="U36" s="141">
        <f t="shared" si="4"/>
        <v>86.026528367352228</v>
      </c>
      <c r="V36" s="142" t="e">
        <f t="shared" si="5"/>
        <v>#N/A</v>
      </c>
      <c r="W36" s="142" t="e">
        <f t="shared" si="6"/>
        <v>#N/A</v>
      </c>
      <c r="X36" s="142"/>
      <c r="Y36" s="198"/>
    </row>
    <row r="37" spans="13:25">
      <c r="M37" s="205">
        <f t="shared" si="7"/>
        <v>45.538931131998091</v>
      </c>
      <c r="N37" s="206">
        <f t="shared" si="2"/>
        <v>45.538931131998091</v>
      </c>
      <c r="O37" s="207">
        <f t="shared" si="8"/>
        <v>0.79480428609231513</v>
      </c>
      <c r="P37" s="138">
        <f t="shared" si="9"/>
        <v>334.53385755767636</v>
      </c>
      <c r="Q37" s="138">
        <f t="shared" si="10"/>
        <v>273.6093019336052</v>
      </c>
      <c r="R37" s="138" t="e">
        <f t="shared" si="0"/>
        <v>#N/A</v>
      </c>
      <c r="S37" s="139" t="e">
        <f t="shared" si="1"/>
        <v>#N/A</v>
      </c>
      <c r="T37" s="140">
        <f t="shared" si="3"/>
        <v>25.466142442323644</v>
      </c>
      <c r="U37" s="141">
        <f t="shared" si="4"/>
        <v>86.390698066394805</v>
      </c>
      <c r="V37" s="142" t="e">
        <f t="shared" si="5"/>
        <v>#N/A</v>
      </c>
      <c r="W37" s="142" t="e">
        <f t="shared" si="6"/>
        <v>#N/A</v>
      </c>
      <c r="X37" s="142"/>
      <c r="Y37" s="198"/>
    </row>
    <row r="38" spans="13:25">
      <c r="M38" s="205">
        <f t="shared" si="7"/>
        <v>45.155639603130503</v>
      </c>
      <c r="N38" s="206">
        <f t="shared" si="2"/>
        <v>45.155639603130503</v>
      </c>
      <c r="O38" s="207">
        <f t="shared" si="8"/>
        <v>0.78811458691857283</v>
      </c>
      <c r="P38" s="138">
        <f t="shared" si="9"/>
        <v>334.88293408967445</v>
      </c>
      <c r="Q38" s="138">
        <f t="shared" si="10"/>
        <v>273.2602254016071</v>
      </c>
      <c r="R38" s="138" t="e">
        <f t="shared" si="0"/>
        <v>#N/A</v>
      </c>
      <c r="S38" s="139" t="e">
        <f t="shared" si="1"/>
        <v>#N/A</v>
      </c>
      <c r="T38" s="140">
        <f t="shared" si="3"/>
        <v>25.11706591032555</v>
      </c>
      <c r="U38" s="141">
        <f t="shared" si="4"/>
        <v>86.739774598392898</v>
      </c>
      <c r="V38" s="142" t="e">
        <f t="shared" si="5"/>
        <v>#N/A</v>
      </c>
      <c r="W38" s="142" t="e">
        <f t="shared" si="6"/>
        <v>#N/A</v>
      </c>
      <c r="X38" s="142"/>
      <c r="Y38" s="198"/>
    </row>
    <row r="39" spans="13:25">
      <c r="M39" s="205">
        <f t="shared" ref="M39:M96" si="11">IF(N39&gt;maxn,maxn,IF(N39&lt;mins,mins,N39))</f>
        <v>44.772348074262915</v>
      </c>
      <c r="N39" s="206">
        <f t="shared" si="2"/>
        <v>44.772348074262915</v>
      </c>
      <c r="O39" s="207">
        <f t="shared" ref="O39:O96" si="12">RADIANS(M39)</f>
        <v>0.78142488774483054</v>
      </c>
      <c r="P39" s="138">
        <f t="shared" ref="P39:P96" si="13">IFERROR(DEGREES(grt+ACOS((SIN(h)-SIN(d)*SIN(O39))/COS(d)/COS(O39))),#N/A)</f>
        <v>335.21764272770002</v>
      </c>
      <c r="Q39" s="138">
        <f t="shared" ref="Q39:Q96" si="14">IFERROR(DEGREES(grt-ACOS((SIN(h)-SIN(d)*SIN(O39))/COS(d)/COS(O39))),#N/A)</f>
        <v>272.92551676358153</v>
      </c>
      <c r="R39" s="138" t="e">
        <f t="shared" si="0"/>
        <v>#N/A</v>
      </c>
      <c r="S39" s="139" t="e">
        <f t="shared" si="1"/>
        <v>#N/A</v>
      </c>
      <c r="T39" s="140">
        <f t="shared" ref="T39:T96" si="15">IF(P39&lt;0,ABS(P39),IF(P39&gt;360,-(P39-360),IF(AND(P39&gt;180,P39&lt;360),ABS(360-P39),-P39)))</f>
        <v>24.782357272299976</v>
      </c>
      <c r="U39" s="141">
        <f t="shared" ref="U39:U96" si="16">IF(Q39&lt;0,ABS(Q39),IF(Q39&gt;360,Q39-(Q39-360),IF(AND(Q39&gt;180,Q39&lt;360),ABS(360-Q39),-Q39)))</f>
        <v>87.074483236418473</v>
      </c>
      <c r="V39" s="142" t="e">
        <f t="shared" ref="V39:V96" si="17">IF(R39&lt;0,ABS(R39),IF(R39&gt;360,-(R39-360),IF(AND(R39&gt;180,R39&lt;360),ABS(360-R39),-R39)))</f>
        <v>#N/A</v>
      </c>
      <c r="W39" s="142" t="e">
        <f t="shared" ref="W39:W96" si="18">IF(S39&lt;0,ABS(S39),IF(S39&gt;360,-(S39-360),IF(AND(S39&gt;180,S39&lt;360),ABS(360-S39),-S39)))</f>
        <v>#N/A</v>
      </c>
      <c r="X39" s="142"/>
      <c r="Y39" s="198"/>
    </row>
    <row r="40" spans="13:25">
      <c r="M40" s="205">
        <f t="shared" si="11"/>
        <v>44.389056545395327</v>
      </c>
      <c r="N40" s="206">
        <f t="shared" si="2"/>
        <v>44.389056545395327</v>
      </c>
      <c r="O40" s="207">
        <f t="shared" si="12"/>
        <v>0.77473518857108825</v>
      </c>
      <c r="P40" s="138">
        <f t="shared" si="13"/>
        <v>335.53865072063087</v>
      </c>
      <c r="Q40" s="138">
        <f t="shared" si="14"/>
        <v>272.60450877065063</v>
      </c>
      <c r="R40" s="138" t="e">
        <f t="shared" ref="R40:R71" si="19">IFERROR(DEGREES(grt_+ACOS((SIN(h_)-SIN(d_)*SIN(O40))/COS(d_)/COS(O40))),#N/A)</f>
        <v>#N/A</v>
      </c>
      <c r="S40" s="139" t="e">
        <f t="shared" ref="S40:S71" si="20">IFERROR(DEGREES(grt_-ACOS((SIN(h_)-SIN(d_)*SIN(O40))/COS(d_)/COS(O40))),#N/A)</f>
        <v>#N/A</v>
      </c>
      <c r="T40" s="140">
        <f t="shared" si="15"/>
        <v>24.461349279369131</v>
      </c>
      <c r="U40" s="141">
        <f t="shared" si="16"/>
        <v>87.395491229349375</v>
      </c>
      <c r="V40" s="142" t="e">
        <f t="shared" si="17"/>
        <v>#N/A</v>
      </c>
      <c r="W40" s="142" t="e">
        <f t="shared" si="18"/>
        <v>#N/A</v>
      </c>
      <c r="X40" s="142"/>
      <c r="Y40" s="198"/>
    </row>
    <row r="41" spans="13:25" hidden="1">
      <c r="M41" s="205">
        <f t="shared" si="11"/>
        <v>44.005765016527739</v>
      </c>
      <c r="N41" s="206">
        <f t="shared" si="2"/>
        <v>44.005765016527739</v>
      </c>
      <c r="O41" s="207">
        <f t="shared" si="12"/>
        <v>0.76804548939734596</v>
      </c>
      <c r="P41" s="138">
        <f t="shared" si="13"/>
        <v>335.84657355240819</v>
      </c>
      <c r="Q41" s="138">
        <f t="shared" si="14"/>
        <v>272.29658593887336</v>
      </c>
      <c r="R41" s="138" t="e">
        <f t="shared" si="19"/>
        <v>#N/A</v>
      </c>
      <c r="S41" s="139" t="e">
        <f t="shared" si="20"/>
        <v>#N/A</v>
      </c>
      <c r="T41" s="140">
        <f t="shared" si="15"/>
        <v>24.153426447591812</v>
      </c>
      <c r="U41" s="141">
        <f t="shared" si="16"/>
        <v>87.703414061126637</v>
      </c>
      <c r="V41" s="142" t="e">
        <f t="shared" si="17"/>
        <v>#N/A</v>
      </c>
      <c r="W41" s="142" t="e">
        <f t="shared" si="18"/>
        <v>#N/A</v>
      </c>
      <c r="X41" s="142"/>
      <c r="Y41" s="198"/>
    </row>
    <row r="42" spans="13:25" hidden="1">
      <c r="M42" s="205">
        <f t="shared" si="11"/>
        <v>43.622473487660152</v>
      </c>
      <c r="N42" s="206">
        <f t="shared" si="2"/>
        <v>43.622473487660152</v>
      </c>
      <c r="O42" s="207">
        <f t="shared" si="12"/>
        <v>0.76135579022360367</v>
      </c>
      <c r="P42" s="138">
        <f t="shared" si="13"/>
        <v>336.14198034449595</v>
      </c>
      <c r="Q42" s="138">
        <f t="shared" si="14"/>
        <v>272.0011791467856</v>
      </c>
      <c r="R42" s="138" t="e">
        <f t="shared" si="19"/>
        <v>#N/A</v>
      </c>
      <c r="S42" s="139" t="e">
        <f t="shared" si="20"/>
        <v>#N/A</v>
      </c>
      <c r="T42" s="140">
        <f t="shared" si="15"/>
        <v>23.858019655504052</v>
      </c>
      <c r="U42" s="141">
        <f t="shared" si="16"/>
        <v>87.998820853214397</v>
      </c>
      <c r="V42" s="142" t="e">
        <f t="shared" si="17"/>
        <v>#N/A</v>
      </c>
      <c r="W42" s="142" t="e">
        <f t="shared" si="18"/>
        <v>#N/A</v>
      </c>
      <c r="X42" s="142"/>
      <c r="Y42" s="198"/>
    </row>
    <row r="43" spans="13:25" hidden="1">
      <c r="M43" s="205">
        <f t="shared" si="11"/>
        <v>43.239181958792564</v>
      </c>
      <c r="N43" s="206">
        <f t="shared" si="2"/>
        <v>43.239181958792564</v>
      </c>
      <c r="O43" s="207">
        <f t="shared" si="12"/>
        <v>0.75466609104986138</v>
      </c>
      <c r="P43" s="138">
        <f t="shared" si="13"/>
        <v>336.42539854172691</v>
      </c>
      <c r="Q43" s="138">
        <f t="shared" si="14"/>
        <v>271.71776094955464</v>
      </c>
      <c r="R43" s="138" t="e">
        <f t="shared" si="19"/>
        <v>#N/A</v>
      </c>
      <c r="S43" s="139" t="e">
        <f t="shared" si="20"/>
        <v>#N/A</v>
      </c>
      <c r="T43" s="140">
        <f t="shared" si="15"/>
        <v>23.574601458273094</v>
      </c>
      <c r="U43" s="141">
        <f t="shared" si="16"/>
        <v>88.282239050445355</v>
      </c>
      <c r="V43" s="142" t="e">
        <f t="shared" si="17"/>
        <v>#N/A</v>
      </c>
      <c r="W43" s="142" t="e">
        <f t="shared" si="18"/>
        <v>#N/A</v>
      </c>
      <c r="X43" s="142"/>
      <c r="Y43" s="198"/>
    </row>
    <row r="44" spans="13:25" hidden="1">
      <c r="M44" s="205">
        <f t="shared" si="11"/>
        <v>42.855890429924976</v>
      </c>
      <c r="N44" s="206">
        <f t="shared" si="2"/>
        <v>42.855890429924976</v>
      </c>
      <c r="O44" s="207">
        <f t="shared" si="12"/>
        <v>0.74797639187611908</v>
      </c>
      <c r="P44" s="138">
        <f t="shared" si="13"/>
        <v>336.69731799526238</v>
      </c>
      <c r="Q44" s="138">
        <f t="shared" si="14"/>
        <v>271.44584149601911</v>
      </c>
      <c r="R44" s="138" t="e">
        <f t="shared" si="19"/>
        <v>#N/A</v>
      </c>
      <c r="S44" s="139" t="e">
        <f t="shared" si="20"/>
        <v>#N/A</v>
      </c>
      <c r="T44" s="140">
        <f t="shared" si="15"/>
        <v>23.302682004737619</v>
      </c>
      <c r="U44" s="141">
        <f t="shared" si="16"/>
        <v>88.554158503980887</v>
      </c>
      <c r="V44" s="142" t="e">
        <f t="shared" si="17"/>
        <v>#N/A</v>
      </c>
      <c r="W44" s="142" t="e">
        <f t="shared" si="18"/>
        <v>#N/A</v>
      </c>
      <c r="X44" s="142"/>
      <c r="Y44" s="198"/>
    </row>
    <row r="45" spans="13:25" hidden="1">
      <c r="M45" s="205">
        <f t="shared" si="11"/>
        <v>42.472598901057388</v>
      </c>
      <c r="N45" s="206">
        <f t="shared" si="2"/>
        <v>42.472598901057388</v>
      </c>
      <c r="O45" s="207">
        <f t="shared" si="12"/>
        <v>0.74128669270237679</v>
      </c>
      <c r="P45" s="138">
        <f t="shared" si="13"/>
        <v>336.95819453555248</v>
      </c>
      <c r="Q45" s="138">
        <f t="shared" si="14"/>
        <v>271.18496495572907</v>
      </c>
      <c r="R45" s="138" t="e">
        <f t="shared" si="19"/>
        <v>#N/A</v>
      </c>
      <c r="S45" s="139" t="e">
        <f t="shared" si="20"/>
        <v>#N/A</v>
      </c>
      <c r="T45" s="140">
        <f t="shared" si="15"/>
        <v>23.041805464447521</v>
      </c>
      <c r="U45" s="141">
        <f t="shared" si="16"/>
        <v>88.815035044270928</v>
      </c>
      <c r="V45" s="142" t="e">
        <f t="shared" si="17"/>
        <v>#N/A</v>
      </c>
      <c r="W45" s="142" t="e">
        <f t="shared" si="18"/>
        <v>#N/A</v>
      </c>
      <c r="X45" s="142"/>
      <c r="Y45" s="198"/>
    </row>
    <row r="46" spans="13:25" hidden="1">
      <c r="M46" s="205">
        <f t="shared" si="11"/>
        <v>42.089307372189801</v>
      </c>
      <c r="N46" s="206">
        <f t="shared" si="2"/>
        <v>42.089307372189801</v>
      </c>
      <c r="O46" s="207">
        <f t="shared" si="12"/>
        <v>0.7345969935286345</v>
      </c>
      <c r="P46" s="138">
        <f t="shared" si="13"/>
        <v>337.2084531116376</v>
      </c>
      <c r="Q46" s="138">
        <f t="shared" si="14"/>
        <v>270.93470637964396</v>
      </c>
      <c r="R46" s="138" t="e">
        <f t="shared" si="19"/>
        <v>#N/A</v>
      </c>
      <c r="S46" s="139" t="e">
        <f t="shared" si="20"/>
        <v>#N/A</v>
      </c>
      <c r="T46" s="140">
        <f t="shared" si="15"/>
        <v>22.791546888362404</v>
      </c>
      <c r="U46" s="141">
        <f t="shared" si="16"/>
        <v>89.065293620356044</v>
      </c>
      <c r="V46" s="142" t="e">
        <f t="shared" si="17"/>
        <v>#N/A</v>
      </c>
      <c r="W46" s="142" t="e">
        <f t="shared" si="18"/>
        <v>#N/A</v>
      </c>
      <c r="X46" s="142"/>
      <c r="Y46" s="198"/>
    </row>
    <row r="47" spans="13:25" hidden="1">
      <c r="M47" s="205">
        <f t="shared" si="11"/>
        <v>41.706015843322213</v>
      </c>
      <c r="N47" s="206">
        <f t="shared" si="2"/>
        <v>41.706015843322213</v>
      </c>
      <c r="O47" s="207">
        <f t="shared" si="12"/>
        <v>0.7279072943548921</v>
      </c>
      <c r="P47" s="138">
        <f t="shared" si="13"/>
        <v>337.44849055991193</v>
      </c>
      <c r="Q47" s="138">
        <f t="shared" si="14"/>
        <v>270.69466893136962</v>
      </c>
      <c r="R47" s="138" t="e">
        <f t="shared" si="19"/>
        <v>#N/A</v>
      </c>
      <c r="S47" s="139" t="e">
        <f t="shared" si="20"/>
        <v>#N/A</v>
      </c>
      <c r="T47" s="140">
        <f t="shared" si="15"/>
        <v>22.551509440088068</v>
      </c>
      <c r="U47" s="141">
        <f>IF(Q47&lt;0,ABS(Q47),IF(Q47&gt;360,Q47-(Q47-360),IF(AND(Q47&gt;180,Q47&lt;360),ABS(360-Q47),-Q47)))</f>
        <v>89.30533106863038</v>
      </c>
      <c r="V47" s="142" t="e">
        <f t="shared" si="17"/>
        <v>#N/A</v>
      </c>
      <c r="W47" s="142" t="e">
        <f t="shared" si="18"/>
        <v>#N/A</v>
      </c>
      <c r="X47" s="142"/>
      <c r="Y47" s="198"/>
    </row>
    <row r="48" spans="13:25" hidden="1">
      <c r="M48" s="205">
        <f t="shared" si="11"/>
        <v>41.322724314454625</v>
      </c>
      <c r="N48" s="206">
        <f t="shared" si="2"/>
        <v>41.322724314454625</v>
      </c>
      <c r="O48" s="207">
        <f t="shared" si="12"/>
        <v>0.72121759518114981</v>
      </c>
      <c r="P48" s="138">
        <f t="shared" si="13"/>
        <v>337.67867805482365</v>
      </c>
      <c r="Q48" s="138">
        <f t="shared" si="14"/>
        <v>270.4644814364579</v>
      </c>
      <c r="R48" s="138" t="e">
        <f t="shared" si="19"/>
        <v>#N/A</v>
      </c>
      <c r="S48" s="139" t="e">
        <f t="shared" si="20"/>
        <v>#N/A</v>
      </c>
      <c r="T48" s="140">
        <f t="shared" si="15"/>
        <v>22.321321945176351</v>
      </c>
      <c r="U48" s="141">
        <f t="shared" si="16"/>
        <v>89.535518563542098</v>
      </c>
      <c r="V48" s="142" t="e">
        <f t="shared" si="17"/>
        <v>#N/A</v>
      </c>
      <c r="W48" s="142" t="e">
        <f t="shared" si="18"/>
        <v>#N/A</v>
      </c>
      <c r="X48" s="142"/>
      <c r="Y48" s="198"/>
    </row>
    <row r="49" spans="13:25" hidden="1">
      <c r="M49" s="205">
        <f t="shared" si="11"/>
        <v>40.939432785587037</v>
      </c>
      <c r="N49" s="206">
        <f t="shared" si="2"/>
        <v>40.939432785587037</v>
      </c>
      <c r="O49" s="207">
        <f t="shared" si="12"/>
        <v>0.71452789600740751</v>
      </c>
      <c r="P49" s="138">
        <f t="shared" si="13"/>
        <v>337.89936328537237</v>
      </c>
      <c r="Q49" s="138">
        <f t="shared" si="14"/>
        <v>270.24379620590912</v>
      </c>
      <c r="R49" s="138" t="e">
        <f t="shared" si="19"/>
        <v>#N/A</v>
      </c>
      <c r="S49" s="139" t="e">
        <f t="shared" si="20"/>
        <v>#N/A</v>
      </c>
      <c r="T49" s="140">
        <f t="shared" si="15"/>
        <v>22.100636714627626</v>
      </c>
      <c r="U49" s="141">
        <f t="shared" si="16"/>
        <v>89.756203794090879</v>
      </c>
      <c r="V49" s="142" t="e">
        <f t="shared" si="17"/>
        <v>#N/A</v>
      </c>
      <c r="W49" s="142" t="e">
        <f t="shared" si="18"/>
        <v>#N/A</v>
      </c>
      <c r="X49" s="142"/>
      <c r="Y49" s="198"/>
    </row>
    <row r="50" spans="13:25" hidden="1">
      <c r="M50" s="205">
        <f t="shared" si="11"/>
        <v>40.556141256719449</v>
      </c>
      <c r="N50" s="206">
        <f t="shared" si="2"/>
        <v>40.556141256719449</v>
      </c>
      <c r="O50" s="207">
        <f t="shared" si="12"/>
        <v>0.70783819683366522</v>
      </c>
      <c r="P50" s="138">
        <f t="shared" si="13"/>
        <v>338.11087239424427</v>
      </c>
      <c r="Q50" s="138">
        <f t="shared" si="14"/>
        <v>270.03228709703723</v>
      </c>
      <c r="R50" s="138" t="e">
        <f t="shared" si="19"/>
        <v>#N/A</v>
      </c>
      <c r="S50" s="139" t="e">
        <f t="shared" si="20"/>
        <v>#N/A</v>
      </c>
      <c r="T50" s="140">
        <f t="shared" si="15"/>
        <v>21.889127605755732</v>
      </c>
      <c r="U50" s="141">
        <f t="shared" si="16"/>
        <v>89.967712902962774</v>
      </c>
      <c r="V50" s="142" t="e">
        <f t="shared" si="17"/>
        <v>#N/A</v>
      </c>
      <c r="W50" s="142" t="e">
        <f t="shared" si="18"/>
        <v>#N/A</v>
      </c>
      <c r="X50" s="142"/>
      <c r="Y50" s="198"/>
    </row>
    <row r="51" spans="13:25" hidden="1">
      <c r="M51" s="205">
        <f t="shared" si="11"/>
        <v>40.172849727851862</v>
      </c>
      <c r="N51" s="206">
        <f t="shared" si="2"/>
        <v>40.172849727851862</v>
      </c>
      <c r="O51" s="207">
        <f t="shared" si="12"/>
        <v>0.70114849765992293</v>
      </c>
      <c r="P51" s="138">
        <f t="shared" si="13"/>
        <v>338.31351171067433</v>
      </c>
      <c r="Q51" s="138">
        <f t="shared" si="14"/>
        <v>269.82964778060722</v>
      </c>
      <c r="R51" s="138" t="e">
        <f t="shared" si="19"/>
        <v>#N/A</v>
      </c>
      <c r="S51" s="139" t="e">
        <f t="shared" si="20"/>
        <v>#N/A</v>
      </c>
      <c r="T51" s="140">
        <f t="shared" si="15"/>
        <v>21.686488289325666</v>
      </c>
      <c r="U51" s="141">
        <f t="shared" si="16"/>
        <v>90.170352219392782</v>
      </c>
      <c r="V51" s="142" t="e">
        <f t="shared" si="17"/>
        <v>#N/A</v>
      </c>
      <c r="W51" s="142" t="e">
        <f t="shared" si="18"/>
        <v>#N/A</v>
      </c>
      <c r="X51" s="142"/>
      <c r="Y51" s="198"/>
    </row>
    <row r="52" spans="13:25" hidden="1">
      <c r="M52" s="205">
        <f t="shared" si="11"/>
        <v>39.789558198984274</v>
      </c>
      <c r="N52" s="206">
        <f t="shared" si="2"/>
        <v>39.789558198984274</v>
      </c>
      <c r="O52" s="207">
        <f t="shared" si="12"/>
        <v>0.69445879848618064</v>
      </c>
      <c r="P52" s="138">
        <f t="shared" si="13"/>
        <v>338.50756930339145</v>
      </c>
      <c r="Q52" s="138">
        <f t="shared" si="14"/>
        <v>269.6355901878901</v>
      </c>
      <c r="R52" s="138" t="e">
        <f t="shared" si="19"/>
        <v>#N/A</v>
      </c>
      <c r="S52" s="139" t="e">
        <f t="shared" si="20"/>
        <v>#N/A</v>
      </c>
      <c r="T52" s="140">
        <f t="shared" si="15"/>
        <v>21.492430696608551</v>
      </c>
      <c r="U52" s="141">
        <f t="shared" si="16"/>
        <v>90.364409812109898</v>
      </c>
      <c r="V52" s="142" t="e">
        <f t="shared" si="17"/>
        <v>#N/A</v>
      </c>
      <c r="W52" s="142" t="e">
        <f t="shared" si="18"/>
        <v>#N/A</v>
      </c>
      <c r="X52" s="142"/>
      <c r="Y52" s="198"/>
    </row>
    <row r="53" spans="13:25" hidden="1">
      <c r="M53" s="205">
        <f t="shared" si="11"/>
        <v>39.406266670116686</v>
      </c>
      <c r="N53" s="206">
        <f t="shared" si="2"/>
        <v>39.406266670116686</v>
      </c>
      <c r="O53" s="207">
        <f t="shared" si="12"/>
        <v>0.68776909931243835</v>
      </c>
      <c r="P53" s="138">
        <f t="shared" si="13"/>
        <v>338.69331637608218</v>
      </c>
      <c r="Q53" s="138">
        <f t="shared" si="14"/>
        <v>269.44984311519931</v>
      </c>
      <c r="R53" s="138" t="e">
        <f t="shared" si="19"/>
        <v>#N/A</v>
      </c>
      <c r="S53" s="139" t="e">
        <f t="shared" si="20"/>
        <v>#N/A</v>
      </c>
      <c r="T53" s="140">
        <f t="shared" si="15"/>
        <v>21.30668362391782</v>
      </c>
      <c r="U53" s="141">
        <f t="shared" si="16"/>
        <v>90.550156884800685</v>
      </c>
      <c r="V53" s="142" t="e">
        <f t="shared" si="17"/>
        <v>#N/A</v>
      </c>
      <c r="W53" s="142" t="e">
        <f t="shared" si="18"/>
        <v>#N/A</v>
      </c>
      <c r="X53" s="142"/>
      <c r="Y53" s="198"/>
    </row>
    <row r="54" spans="13:25" hidden="1">
      <c r="M54" s="205">
        <f t="shared" si="11"/>
        <v>39.022975141249098</v>
      </c>
      <c r="N54" s="206">
        <f t="shared" si="2"/>
        <v>39.022975141249098</v>
      </c>
      <c r="O54" s="207">
        <f t="shared" si="12"/>
        <v>0.68107940013869606</v>
      </c>
      <c r="P54" s="138">
        <f t="shared" si="13"/>
        <v>338.87100852455023</v>
      </c>
      <c r="Q54" s="138">
        <f t="shared" si="14"/>
        <v>269.27215096673132</v>
      </c>
      <c r="R54" s="138" t="e">
        <f t="shared" si="19"/>
        <v>#N/A</v>
      </c>
      <c r="S54" s="139" t="e">
        <f t="shared" si="20"/>
        <v>#N/A</v>
      </c>
      <c r="T54" s="140">
        <f t="shared" si="15"/>
        <v>21.128991475449766</v>
      </c>
      <c r="U54" s="141">
        <f t="shared" si="16"/>
        <v>90.727849033268683</v>
      </c>
      <c r="V54" s="142" t="e">
        <f t="shared" si="17"/>
        <v>#N/A</v>
      </c>
      <c r="W54" s="142" t="e">
        <f t="shared" si="18"/>
        <v>#N/A</v>
      </c>
      <c r="X54" s="142"/>
      <c r="Y54" s="198"/>
    </row>
    <row r="55" spans="13:25" hidden="1">
      <c r="M55" s="205">
        <f t="shared" si="11"/>
        <v>38.639683612381511</v>
      </c>
      <c r="N55" s="206">
        <f t="shared" si="2"/>
        <v>38.639683612381511</v>
      </c>
      <c r="O55" s="207">
        <f t="shared" si="12"/>
        <v>0.67438970096495376</v>
      </c>
      <c r="P55" s="138">
        <f t="shared" si="13"/>
        <v>339.04088687202352</v>
      </c>
      <c r="Q55" s="138">
        <f t="shared" si="14"/>
        <v>269.10227261925797</v>
      </c>
      <c r="R55" s="138" t="e">
        <f t="shared" si="19"/>
        <v>#N/A</v>
      </c>
      <c r="S55" s="139" t="e">
        <f t="shared" si="20"/>
        <v>#N/A</v>
      </c>
      <c r="T55" s="140">
        <f t="shared" si="15"/>
        <v>20.95911312797648</v>
      </c>
      <c r="U55" s="141">
        <f t="shared" si="16"/>
        <v>90.897727380742026</v>
      </c>
      <c r="V55" s="142" t="e">
        <f t="shared" si="17"/>
        <v>#N/A</v>
      </c>
      <c r="W55" s="142" t="e">
        <f t="shared" si="18"/>
        <v>#N/A</v>
      </c>
      <c r="X55" s="142"/>
      <c r="Y55" s="198"/>
    </row>
    <row r="56" spans="13:25" hidden="1">
      <c r="M56" s="205">
        <f t="shared" si="11"/>
        <v>38.256392083513923</v>
      </c>
      <c r="N56" s="206">
        <f t="shared" si="2"/>
        <v>38.256392083513923</v>
      </c>
      <c r="O56" s="207">
        <f t="shared" si="12"/>
        <v>0.66770000179121147</v>
      </c>
      <c r="P56" s="138">
        <f t="shared" si="13"/>
        <v>339.20317909678039</v>
      </c>
      <c r="Q56" s="138">
        <f t="shared" si="14"/>
        <v>268.93998039450111</v>
      </c>
      <c r="R56" s="138" t="e">
        <f t="shared" si="19"/>
        <v>#N/A</v>
      </c>
      <c r="S56" s="139" t="e">
        <f t="shared" si="20"/>
        <v>#N/A</v>
      </c>
      <c r="T56" s="140">
        <f t="shared" si="15"/>
        <v>20.796820903219611</v>
      </c>
      <c r="U56" s="141">
        <f t="shared" si="16"/>
        <v>91.060019605498894</v>
      </c>
      <c r="V56" s="142" t="e">
        <f t="shared" si="17"/>
        <v>#N/A</v>
      </c>
      <c r="W56" s="142" t="e">
        <f t="shared" si="18"/>
        <v>#N/A</v>
      </c>
      <c r="X56" s="142"/>
      <c r="Y56" s="198"/>
    </row>
    <row r="57" spans="13:25" hidden="1">
      <c r="M57" s="205">
        <f t="shared" si="11"/>
        <v>37.873100554646335</v>
      </c>
      <c r="N57" s="206">
        <f t="shared" si="2"/>
        <v>37.873100554646335</v>
      </c>
      <c r="O57" s="207">
        <f t="shared" si="12"/>
        <v>0.66101030261746918</v>
      </c>
      <c r="P57" s="138">
        <f t="shared" si="13"/>
        <v>339.35810036433622</v>
      </c>
      <c r="Q57" s="138">
        <f t="shared" si="14"/>
        <v>268.78505912694533</v>
      </c>
      <c r="R57" s="138">
        <f t="shared" si="19"/>
        <v>349.87329997278459</v>
      </c>
      <c r="S57" s="139">
        <f t="shared" si="20"/>
        <v>348.95163994704905</v>
      </c>
      <c r="T57" s="140">
        <f t="shared" si="15"/>
        <v>20.641899635663776</v>
      </c>
      <c r="U57" s="141">
        <f t="shared" si="16"/>
        <v>91.214940873054672</v>
      </c>
      <c r="V57" s="142">
        <f t="shared" si="17"/>
        <v>10.126700027215406</v>
      </c>
      <c r="W57" s="142">
        <f t="shared" si="18"/>
        <v>11.048360052950954</v>
      </c>
      <c r="X57" s="142"/>
      <c r="Y57" s="198"/>
    </row>
    <row r="58" spans="13:25" hidden="1">
      <c r="M58" s="205">
        <f t="shared" si="11"/>
        <v>37.489809025778747</v>
      </c>
      <c r="N58" s="206">
        <f t="shared" si="2"/>
        <v>37.489809025778747</v>
      </c>
      <c r="O58" s="207">
        <f t="shared" si="12"/>
        <v>0.65432060344372689</v>
      </c>
      <c r="P58" s="138">
        <f t="shared" si="13"/>
        <v>339.50585417480733</v>
      </c>
      <c r="Q58" s="138">
        <f t="shared" si="14"/>
        <v>268.63730531647423</v>
      </c>
      <c r="R58" s="138">
        <f t="shared" si="19"/>
        <v>353.43967518225156</v>
      </c>
      <c r="S58" s="139">
        <f t="shared" si="20"/>
        <v>345.38526473758208</v>
      </c>
      <c r="T58" s="140">
        <f t="shared" si="15"/>
        <v>20.494145825192675</v>
      </c>
      <c r="U58" s="141">
        <f t="shared" si="16"/>
        <v>91.362694683525774</v>
      </c>
      <c r="V58" s="142">
        <f t="shared" si="17"/>
        <v>6.5603248177484375</v>
      </c>
      <c r="W58" s="142">
        <f t="shared" si="18"/>
        <v>14.614735262417923</v>
      </c>
      <c r="X58" s="142"/>
      <c r="Y58" s="198"/>
    </row>
    <row r="59" spans="13:25" hidden="1">
      <c r="M59" s="205">
        <f t="shared" si="11"/>
        <v>37.10651749691116</v>
      </c>
      <c r="N59" s="206">
        <f t="shared" si="2"/>
        <v>37.10651749691116</v>
      </c>
      <c r="O59" s="207">
        <f t="shared" si="12"/>
        <v>0.6476309042699846</v>
      </c>
      <c r="P59" s="138">
        <f t="shared" si="13"/>
        <v>339.64663313468441</v>
      </c>
      <c r="Q59" s="138">
        <f t="shared" si="14"/>
        <v>268.49652635659714</v>
      </c>
      <c r="R59" s="138">
        <f t="shared" si="19"/>
        <v>355.04188143035026</v>
      </c>
      <c r="S59" s="139">
        <f t="shared" si="20"/>
        <v>343.78305848948338</v>
      </c>
      <c r="T59" s="140">
        <f t="shared" si="15"/>
        <v>20.353366865315593</v>
      </c>
      <c r="U59" s="141">
        <f t="shared" si="16"/>
        <v>91.503473643402856</v>
      </c>
      <c r="V59" s="142">
        <f t="shared" si="17"/>
        <v>4.9581185696497414</v>
      </c>
      <c r="W59" s="142">
        <f t="shared" si="18"/>
        <v>16.216941510516619</v>
      </c>
      <c r="X59" s="142"/>
      <c r="Y59" s="198"/>
    </row>
    <row r="60" spans="13:25" hidden="1">
      <c r="M60" s="205">
        <f t="shared" si="11"/>
        <v>36.723225968043572</v>
      </c>
      <c r="N60" s="206">
        <f t="shared" si="2"/>
        <v>36.723225968043572</v>
      </c>
      <c r="O60" s="207">
        <f t="shared" si="12"/>
        <v>0.64094120509624231</v>
      </c>
      <c r="P60" s="138">
        <f t="shared" si="13"/>
        <v>339.78061966107049</v>
      </c>
      <c r="Q60" s="138">
        <f t="shared" si="14"/>
        <v>268.36253983021106</v>
      </c>
      <c r="R60" s="138">
        <f t="shared" si="19"/>
        <v>356.24155892616676</v>
      </c>
      <c r="S60" s="139">
        <f t="shared" si="20"/>
        <v>342.58338099366688</v>
      </c>
      <c r="T60" s="140">
        <f t="shared" si="15"/>
        <v>20.219380338929511</v>
      </c>
      <c r="U60" s="141">
        <f t="shared" si="16"/>
        <v>91.637460169788937</v>
      </c>
      <c r="V60" s="142">
        <f t="shared" si="17"/>
        <v>3.7584410738332394</v>
      </c>
      <c r="W60" s="142">
        <f t="shared" si="18"/>
        <v>17.416619006333121</v>
      </c>
      <c r="X60" s="142"/>
      <c r="Y60" s="198"/>
    </row>
    <row r="61" spans="13:25" hidden="1">
      <c r="M61" s="205">
        <f t="shared" si="11"/>
        <v>36.339934439175984</v>
      </c>
      <c r="N61" s="206">
        <f t="shared" si="2"/>
        <v>36.339934439175984</v>
      </c>
      <c r="O61" s="207">
        <f t="shared" si="12"/>
        <v>0.6342515059224999</v>
      </c>
      <c r="P61" s="138">
        <f t="shared" si="13"/>
        <v>339.90798662542949</v>
      </c>
      <c r="Q61" s="138">
        <f t="shared" si="14"/>
        <v>268.23517286585206</v>
      </c>
      <c r="R61" s="138">
        <f t="shared" si="19"/>
        <v>357.22688673148627</v>
      </c>
      <c r="S61" s="139">
        <f t="shared" si="20"/>
        <v>341.59805318834736</v>
      </c>
      <c r="T61" s="140">
        <f t="shared" si="15"/>
        <v>20.092013374570513</v>
      </c>
      <c r="U61" s="141">
        <f t="shared" si="16"/>
        <v>91.764827134147936</v>
      </c>
      <c r="V61" s="142">
        <f t="shared" si="17"/>
        <v>2.7731132685137254</v>
      </c>
      <c r="W61" s="142">
        <f t="shared" si="18"/>
        <v>18.401946811652635</v>
      </c>
      <c r="X61" s="142"/>
      <c r="Y61" s="198"/>
    </row>
    <row r="62" spans="13:25" hidden="1">
      <c r="M62" s="205">
        <f t="shared" si="11"/>
        <v>35.956642910308396</v>
      </c>
      <c r="N62" s="206">
        <f t="shared" si="2"/>
        <v>35.956642910308396</v>
      </c>
      <c r="O62" s="207">
        <f t="shared" si="12"/>
        <v>0.62756180674875761</v>
      </c>
      <c r="P62" s="138">
        <f t="shared" si="13"/>
        <v>340.0288979430286</v>
      </c>
      <c r="Q62" s="138">
        <f t="shared" si="14"/>
        <v>268.1142615482529</v>
      </c>
      <c r="R62" s="138">
        <f t="shared" si="19"/>
        <v>358.0718107774</v>
      </c>
      <c r="S62" s="139">
        <f t="shared" si="20"/>
        <v>340.75312914243364</v>
      </c>
      <c r="T62" s="140">
        <f t="shared" si="15"/>
        <v>19.971102056971404</v>
      </c>
      <c r="U62" s="141">
        <f t="shared" si="16"/>
        <v>91.885738451747102</v>
      </c>
      <c r="V62" s="142">
        <f t="shared" si="17"/>
        <v>1.9281892225999968</v>
      </c>
      <c r="W62" s="142">
        <f t="shared" si="18"/>
        <v>19.246870857566364</v>
      </c>
      <c r="X62" s="142"/>
      <c r="Y62" s="198"/>
    </row>
    <row r="63" spans="13:25" hidden="1">
      <c r="M63" s="205">
        <f t="shared" si="11"/>
        <v>35.573351381440808</v>
      </c>
      <c r="N63" s="206">
        <f t="shared" si="2"/>
        <v>35.573351381440808</v>
      </c>
      <c r="O63" s="207">
        <f t="shared" si="12"/>
        <v>0.62087210757501532</v>
      </c>
      <c r="P63" s="138">
        <f t="shared" si="13"/>
        <v>340.14350911351363</v>
      </c>
      <c r="Q63" s="138">
        <f t="shared" si="14"/>
        <v>267.99965037776792</v>
      </c>
      <c r="R63" s="138">
        <f t="shared" si="19"/>
        <v>358.81467207555187</v>
      </c>
      <c r="S63" s="139">
        <f t="shared" si="20"/>
        <v>340.01026784428171</v>
      </c>
      <c r="T63" s="140">
        <f t="shared" si="15"/>
        <v>19.85649088648637</v>
      </c>
      <c r="U63" s="141">
        <f t="shared" si="16"/>
        <v>92.000349622232079</v>
      </c>
      <c r="V63" s="142">
        <f t="shared" si="17"/>
        <v>1.1853279244481314</v>
      </c>
      <c r="W63" s="142">
        <f t="shared" si="18"/>
        <v>19.989732155718286</v>
      </c>
      <c r="X63" s="142"/>
      <c r="Y63" s="198"/>
    </row>
    <row r="64" spans="13:25" hidden="1">
      <c r="M64" s="205">
        <f t="shared" si="11"/>
        <v>35.190059852573221</v>
      </c>
      <c r="N64" s="206">
        <f t="shared" si="2"/>
        <v>35.190059852573221</v>
      </c>
      <c r="O64" s="207">
        <f t="shared" si="12"/>
        <v>0.61418240840127303</v>
      </c>
      <c r="P64" s="138">
        <f t="shared" si="13"/>
        <v>340.25196771741099</v>
      </c>
      <c r="Q64" s="138">
        <f t="shared" si="14"/>
        <v>267.89119177387056</v>
      </c>
      <c r="R64" s="138">
        <f t="shared" si="19"/>
        <v>359.47846636603703</v>
      </c>
      <c r="S64" s="139">
        <f t="shared" si="20"/>
        <v>339.34647355379661</v>
      </c>
      <c r="T64" s="140">
        <f t="shared" si="15"/>
        <v>19.748032282589008</v>
      </c>
      <c r="U64" s="141">
        <f t="shared" si="16"/>
        <v>92.10880822612944</v>
      </c>
      <c r="V64" s="142">
        <f t="shared" si="17"/>
        <v>0.52153363396297436</v>
      </c>
      <c r="W64" s="142">
        <f t="shared" si="18"/>
        <v>20.653526446203387</v>
      </c>
      <c r="X64" s="142"/>
      <c r="Y64" s="198"/>
    </row>
    <row r="65" spans="13:25" hidden="1">
      <c r="M65" s="205">
        <f t="shared" si="11"/>
        <v>34.806768323705633</v>
      </c>
      <c r="N65" s="206">
        <f t="shared" si="2"/>
        <v>34.806768323705633</v>
      </c>
      <c r="O65" s="207">
        <f t="shared" si="12"/>
        <v>0.60749270922753074</v>
      </c>
      <c r="P65" s="138">
        <f t="shared" si="13"/>
        <v>340.35441387279968</v>
      </c>
      <c r="Q65" s="138">
        <f t="shared" si="14"/>
        <v>267.78874561848187</v>
      </c>
      <c r="R65" s="138">
        <f t="shared" si="19"/>
        <v>360.07830893772882</v>
      </c>
      <c r="S65" s="139">
        <f t="shared" si="20"/>
        <v>338.74663098210482</v>
      </c>
      <c r="T65" s="140">
        <f t="shared" si="15"/>
        <v>19.645586127200318</v>
      </c>
      <c r="U65" s="141">
        <f t="shared" si="16"/>
        <v>92.211254381518131</v>
      </c>
      <c r="V65" s="142">
        <f t="shared" si="17"/>
        <v>-7.8308937728820638E-2</v>
      </c>
      <c r="W65" s="142">
        <f t="shared" si="18"/>
        <v>21.253369017895182</v>
      </c>
      <c r="X65" s="142"/>
      <c r="Y65" s="198"/>
    </row>
    <row r="66" spans="13:25" hidden="1">
      <c r="M66" s="205">
        <f t="shared" si="11"/>
        <v>34.423476794838045</v>
      </c>
      <c r="N66" s="206">
        <f t="shared" si="2"/>
        <v>34.423476794838045</v>
      </c>
      <c r="O66" s="207">
        <f t="shared" si="12"/>
        <v>0.60080301005378844</v>
      </c>
      <c r="P66" s="138">
        <f t="shared" si="13"/>
        <v>340.45098065590645</v>
      </c>
      <c r="Q66" s="138">
        <f t="shared" si="14"/>
        <v>267.6921788353751</v>
      </c>
      <c r="R66" s="138">
        <f t="shared" si="19"/>
        <v>360.62478524136833</v>
      </c>
      <c r="S66" s="139">
        <f t="shared" si="20"/>
        <v>338.20015467846525</v>
      </c>
      <c r="T66" s="140">
        <f t="shared" si="15"/>
        <v>19.549019344093551</v>
      </c>
      <c r="U66" s="141">
        <f t="shared" si="16"/>
        <v>92.307821164624897</v>
      </c>
      <c r="V66" s="142">
        <f t="shared" si="17"/>
        <v>-0.62478524136832903</v>
      </c>
      <c r="W66" s="142">
        <f t="shared" si="18"/>
        <v>21.799845321534747</v>
      </c>
      <c r="X66" s="142"/>
      <c r="Y66" s="198"/>
    </row>
    <row r="67" spans="13:25" hidden="1">
      <c r="M67" s="205">
        <f t="shared" si="11"/>
        <v>34.040185265970457</v>
      </c>
      <c r="N67" s="206">
        <f t="shared" si="2"/>
        <v>34.040185265970457</v>
      </c>
      <c r="O67" s="207">
        <f t="shared" si="12"/>
        <v>0.59411331088004615</v>
      </c>
      <c r="P67" s="138">
        <f t="shared" si="13"/>
        <v>340.54179448896309</v>
      </c>
      <c r="Q67" s="138">
        <f t="shared" si="14"/>
        <v>267.6013650023184</v>
      </c>
      <c r="R67" s="138">
        <f t="shared" si="19"/>
        <v>361.12566173543274</v>
      </c>
      <c r="S67" s="139">
        <f t="shared" si="20"/>
        <v>337.6992781844009</v>
      </c>
      <c r="T67" s="140">
        <f t="shared" si="15"/>
        <v>19.458205511036908</v>
      </c>
      <c r="U67" s="141">
        <f t="shared" si="16"/>
        <v>92.398634997681597</v>
      </c>
      <c r="V67" s="142">
        <f t="shared" si="17"/>
        <v>-1.1256617354327432</v>
      </c>
      <c r="W67" s="142">
        <f t="shared" si="18"/>
        <v>22.300721815599104</v>
      </c>
      <c r="X67" s="142"/>
      <c r="Y67" s="198"/>
    </row>
    <row r="68" spans="13:25" hidden="1">
      <c r="M68" s="205">
        <f t="shared" si="11"/>
        <v>33.65689373710287</v>
      </c>
      <c r="N68" s="206">
        <f t="shared" si="2"/>
        <v>33.65689373710287</v>
      </c>
      <c r="O68" s="207">
        <f t="shared" si="12"/>
        <v>0.58742361170630386</v>
      </c>
      <c r="P68" s="138">
        <f t="shared" si="13"/>
        <v>340.6269754982925</v>
      </c>
      <c r="Q68" s="138">
        <f t="shared" si="14"/>
        <v>267.516183992989</v>
      </c>
      <c r="R68" s="138">
        <f t="shared" si="19"/>
        <v>361.58684350731454</v>
      </c>
      <c r="S68" s="139">
        <f t="shared" si="20"/>
        <v>337.23809641251904</v>
      </c>
      <c r="T68" s="140">
        <f t="shared" si="15"/>
        <v>19.373024501707505</v>
      </c>
      <c r="U68" s="141">
        <f t="shared" si="16"/>
        <v>92.483816007011001</v>
      </c>
      <c r="V68" s="142">
        <f t="shared" si="17"/>
        <v>-1.5868435073145406</v>
      </c>
      <c r="W68" s="142">
        <f t="shared" si="18"/>
        <v>22.761903587480958</v>
      </c>
      <c r="X68" s="142"/>
      <c r="Y68" s="198"/>
    </row>
    <row r="69" spans="13:25" hidden="1">
      <c r="M69" s="205">
        <f t="shared" si="11"/>
        <v>33.273602208235282</v>
      </c>
      <c r="N69" s="206">
        <f t="shared" si="2"/>
        <v>33.273602208235282</v>
      </c>
      <c r="O69" s="207">
        <f t="shared" si="12"/>
        <v>0.58073391253256157</v>
      </c>
      <c r="P69" s="138">
        <f t="shared" si="13"/>
        <v>340.70663784527272</v>
      </c>
      <c r="Q69" s="138">
        <f t="shared" si="14"/>
        <v>267.43652164600883</v>
      </c>
      <c r="R69" s="138">
        <f t="shared" si="19"/>
        <v>362.01294868223539</v>
      </c>
      <c r="S69" s="139">
        <f t="shared" si="20"/>
        <v>336.81199123759825</v>
      </c>
      <c r="T69" s="140">
        <f t="shared" si="15"/>
        <v>19.293362154727276</v>
      </c>
      <c r="U69" s="141">
        <f t="shared" si="16"/>
        <v>92.563478353991172</v>
      </c>
      <c r="V69" s="142">
        <f t="shared" si="17"/>
        <v>-2.0129486822353897</v>
      </c>
      <c r="W69" s="142">
        <f t="shared" si="18"/>
        <v>23.188008762401751</v>
      </c>
      <c r="X69" s="142"/>
      <c r="Y69" s="198"/>
    </row>
    <row r="70" spans="13:25" hidden="1">
      <c r="M70" s="205">
        <f t="shared" si="11"/>
        <v>32.890310679367694</v>
      </c>
      <c r="N70" s="206">
        <f t="shared" si="2"/>
        <v>32.890310679367694</v>
      </c>
      <c r="O70" s="207">
        <f t="shared" si="12"/>
        <v>0.57404421335881928</v>
      </c>
      <c r="P70" s="138">
        <f t="shared" si="13"/>
        <v>340.78089003254217</v>
      </c>
      <c r="Q70" s="138">
        <f t="shared" si="14"/>
        <v>267.36226945873932</v>
      </c>
      <c r="R70" s="138">
        <f t="shared" si="19"/>
        <v>362.40767214011584</v>
      </c>
      <c r="S70" s="139">
        <f t="shared" si="20"/>
        <v>336.41726777971775</v>
      </c>
      <c r="T70" s="140">
        <f t="shared" si="15"/>
        <v>19.219109967457825</v>
      </c>
      <c r="U70" s="141">
        <f t="shared" si="16"/>
        <v>92.63773054126068</v>
      </c>
      <c r="V70" s="142">
        <f t="shared" si="17"/>
        <v>-2.4076721401158352</v>
      </c>
      <c r="W70" s="142">
        <f t="shared" si="18"/>
        <v>23.582732220282253</v>
      </c>
      <c r="X70" s="142"/>
      <c r="Y70" s="198"/>
    </row>
    <row r="71" spans="13:25" hidden="1">
      <c r="M71" s="205">
        <f t="shared" si="11"/>
        <v>32.507019150500106</v>
      </c>
      <c r="N71" s="206">
        <f t="shared" si="2"/>
        <v>32.507019150500106</v>
      </c>
      <c r="O71" s="207">
        <f t="shared" si="12"/>
        <v>0.56735451418507699</v>
      </c>
      <c r="P71" s="138">
        <f t="shared" si="13"/>
        <v>340.84983518756542</v>
      </c>
      <c r="Q71" s="138">
        <f t="shared" si="14"/>
        <v>267.29332430371613</v>
      </c>
      <c r="R71" s="138">
        <f t="shared" si="19"/>
        <v>362.77402608775725</v>
      </c>
      <c r="S71" s="139">
        <f t="shared" si="20"/>
        <v>336.05091383207639</v>
      </c>
      <c r="T71" s="140">
        <f t="shared" si="15"/>
        <v>19.150164812434582</v>
      </c>
      <c r="U71" s="141">
        <f t="shared" si="16"/>
        <v>92.706675696283867</v>
      </c>
      <c r="V71" s="142">
        <f t="shared" si="17"/>
        <v>-2.7740260877572496</v>
      </c>
      <c r="W71" s="142">
        <f t="shared" si="18"/>
        <v>23.94908616792361</v>
      </c>
      <c r="X71" s="142"/>
      <c r="Y71" s="198"/>
    </row>
    <row r="72" spans="13:25" hidden="1">
      <c r="M72" s="205">
        <f t="shared" si="11"/>
        <v>32.123727621632518</v>
      </c>
      <c r="N72" s="206">
        <f t="shared" ref="N72:N135" si="21">N71-step</f>
        <v>32.123727621632518</v>
      </c>
      <c r="O72" s="207">
        <f t="shared" si="12"/>
        <v>0.56066481501133469</v>
      </c>
      <c r="P72" s="138">
        <f t="shared" si="13"/>
        <v>340.91357132545465</v>
      </c>
      <c r="Q72" s="138">
        <f t="shared" si="14"/>
        <v>267.22958816582684</v>
      </c>
      <c r="R72" s="138">
        <f t="shared" ref="R72:R103" si="22">IFERROR(DEGREES(grt_+ACOS((SIN(h_)-SIN(d_)*SIN(O72))/COS(d_)/COS(O72))),#N/A)</f>
        <v>363.11450499848615</v>
      </c>
      <c r="S72" s="139">
        <f t="shared" ref="S72:S103" si="23">IFERROR(DEGREES(grt_-ACOS((SIN(h_)-SIN(d_)*SIN(O72))/COS(d_)/COS(O72))),#N/A)</f>
        <v>335.71043492134748</v>
      </c>
      <c r="T72" s="140">
        <f t="shared" si="15"/>
        <v>19.086428674545346</v>
      </c>
      <c r="U72" s="141">
        <f t="shared" si="16"/>
        <v>92.77041183417316</v>
      </c>
      <c r="V72" s="142">
        <f t="shared" si="17"/>
        <v>-3.1145049984861544</v>
      </c>
      <c r="W72" s="142">
        <f t="shared" si="18"/>
        <v>24.289565078652515</v>
      </c>
      <c r="X72" s="142"/>
      <c r="Y72" s="198"/>
    </row>
    <row r="73" spans="13:25" hidden="1">
      <c r="M73" s="205">
        <f t="shared" si="11"/>
        <v>31.740436092764931</v>
      </c>
      <c r="N73" s="206">
        <f t="shared" si="21"/>
        <v>31.740436092764931</v>
      </c>
      <c r="O73" s="207">
        <f t="shared" si="12"/>
        <v>0.5539751158375924</v>
      </c>
      <c r="P73" s="138">
        <f t="shared" si="13"/>
        <v>340.97219159275471</v>
      </c>
      <c r="Q73" s="138">
        <f t="shared" si="14"/>
        <v>267.17096789852678</v>
      </c>
      <c r="R73" s="138">
        <f t="shared" si="22"/>
        <v>363.43120215350496</v>
      </c>
      <c r="S73" s="139">
        <f t="shared" si="23"/>
        <v>335.39373776632863</v>
      </c>
      <c r="T73" s="140">
        <f t="shared" si="15"/>
        <v>19.027808407245288</v>
      </c>
      <c r="U73" s="141">
        <f t="shared" si="16"/>
        <v>92.829032101473217</v>
      </c>
      <c r="V73" s="142">
        <f t="shared" si="17"/>
        <v>-3.4312021535049553</v>
      </c>
      <c r="W73" s="142">
        <f t="shared" si="18"/>
        <v>24.606262233671373</v>
      </c>
      <c r="X73" s="142"/>
      <c r="Y73" s="198"/>
    </row>
    <row r="74" spans="13:25" hidden="1">
      <c r="M74" s="205">
        <f t="shared" si="11"/>
        <v>31.357144563897343</v>
      </c>
      <c r="N74" s="206">
        <f t="shared" si="21"/>
        <v>31.357144563897343</v>
      </c>
      <c r="O74" s="207">
        <f t="shared" si="12"/>
        <v>0.54728541666385011</v>
      </c>
      <c r="P74" s="138">
        <f t="shared" si="13"/>
        <v>341.02578449372254</v>
      </c>
      <c r="Q74" s="138">
        <f t="shared" si="14"/>
        <v>267.11737499755901</v>
      </c>
      <c r="R74" s="138">
        <f t="shared" si="22"/>
        <v>363.72589412216502</v>
      </c>
      <c r="S74" s="139">
        <f t="shared" si="23"/>
        <v>335.09904579766862</v>
      </c>
      <c r="T74" s="140">
        <f t="shared" si="15"/>
        <v>18.97421550627746</v>
      </c>
      <c r="U74" s="141">
        <f t="shared" si="16"/>
        <v>92.882625002440989</v>
      </c>
      <c r="V74" s="142">
        <f t="shared" si="17"/>
        <v>-3.7258941221650161</v>
      </c>
      <c r="W74" s="142">
        <f t="shared" si="18"/>
        <v>24.900954202331377</v>
      </c>
      <c r="X74" s="142"/>
      <c r="Y74" s="198"/>
    </row>
    <row r="75" spans="13:25" hidden="1">
      <c r="M75" s="205">
        <f t="shared" si="11"/>
        <v>30.973853035029755</v>
      </c>
      <c r="N75" s="206">
        <f t="shared" si="21"/>
        <v>30.973853035029755</v>
      </c>
      <c r="O75" s="207">
        <f t="shared" si="12"/>
        <v>0.54059571749010782</v>
      </c>
      <c r="P75" s="138">
        <f t="shared" si="13"/>
        <v>341.07443410048336</v>
      </c>
      <c r="Q75" s="138">
        <f t="shared" si="14"/>
        <v>267.06872539079814</v>
      </c>
      <c r="R75" s="138">
        <f t="shared" si="22"/>
        <v>364.00010336584427</v>
      </c>
      <c r="S75" s="139">
        <f t="shared" si="23"/>
        <v>334.82483655398937</v>
      </c>
      <c r="T75" s="140">
        <f t="shared" si="15"/>
        <v>18.925565899516641</v>
      </c>
      <c r="U75" s="141">
        <f t="shared" si="16"/>
        <v>92.931274609201864</v>
      </c>
      <c r="V75" s="142">
        <f t="shared" si="17"/>
        <v>-4.000103365844268</v>
      </c>
      <c r="W75" s="142">
        <f t="shared" si="18"/>
        <v>25.175163446010629</v>
      </c>
      <c r="X75" s="142"/>
      <c r="Y75" s="198"/>
    </row>
    <row r="76" spans="13:25" hidden="1">
      <c r="M76" s="205">
        <f t="shared" si="11"/>
        <v>30.590561506162167</v>
      </c>
      <c r="N76" s="206">
        <f t="shared" si="21"/>
        <v>30.590561506162167</v>
      </c>
      <c r="O76" s="207">
        <f t="shared" si="12"/>
        <v>0.53390601831636542</v>
      </c>
      <c r="P76" s="138">
        <f t="shared" si="13"/>
        <v>341.11822024831014</v>
      </c>
      <c r="Q76" s="138">
        <f t="shared" si="14"/>
        <v>267.02493924297136</v>
      </c>
      <c r="R76" s="138">
        <f t="shared" si="22"/>
        <v>364.25514552753094</v>
      </c>
      <c r="S76" s="139">
        <f t="shared" si="23"/>
        <v>334.5697943923027</v>
      </c>
      <c r="T76" s="140">
        <f t="shared" si="15"/>
        <v>18.881779751689862</v>
      </c>
      <c r="U76" s="141">
        <f t="shared" si="16"/>
        <v>92.975060757028643</v>
      </c>
      <c r="V76" s="142">
        <f t="shared" si="17"/>
        <v>-4.2551455275309422</v>
      </c>
      <c r="W76" s="142">
        <f t="shared" si="18"/>
        <v>25.430205607697303</v>
      </c>
      <c r="X76" s="142"/>
      <c r="Y76" s="198"/>
    </row>
    <row r="77" spans="13:25" hidden="1">
      <c r="M77" s="205">
        <f t="shared" si="11"/>
        <v>30.20726997729458</v>
      </c>
      <c r="N77" s="206">
        <f t="shared" si="21"/>
        <v>30.20726997729458</v>
      </c>
      <c r="O77" s="207">
        <f t="shared" si="12"/>
        <v>0.52721631914262312</v>
      </c>
      <c r="P77" s="138">
        <f t="shared" si="13"/>
        <v>341.15721871714999</v>
      </c>
      <c r="Q77" s="138">
        <f t="shared" si="14"/>
        <v>266.98594077413156</v>
      </c>
      <c r="R77" s="138">
        <f t="shared" si="22"/>
        <v>364.49216575788927</v>
      </c>
      <c r="S77" s="139">
        <f t="shared" si="23"/>
        <v>334.33277416194437</v>
      </c>
      <c r="T77" s="140">
        <f t="shared" si="15"/>
        <v>18.842781282850012</v>
      </c>
      <c r="U77" s="141">
        <f t="shared" si="16"/>
        <v>93.014059225868436</v>
      </c>
      <c r="V77" s="142">
        <f t="shared" si="17"/>
        <v>-4.4921657578892678</v>
      </c>
      <c r="W77" s="142">
        <f t="shared" si="18"/>
        <v>25.667225838055629</v>
      </c>
      <c r="X77" s="142"/>
      <c r="Y77" s="198"/>
    </row>
    <row r="78" spans="13:25" hidden="1">
      <c r="M78" s="205">
        <f t="shared" si="11"/>
        <v>29.823978448426992</v>
      </c>
      <c r="N78" s="206">
        <f t="shared" si="21"/>
        <v>29.823978448426992</v>
      </c>
      <c r="O78" s="207">
        <f t="shared" si="12"/>
        <v>0.52052661996888083</v>
      </c>
      <c r="P78" s="138">
        <f t="shared" si="13"/>
        <v>341.19150140041626</v>
      </c>
      <c r="Q78" s="138">
        <f t="shared" si="14"/>
        <v>266.95165809086529</v>
      </c>
      <c r="R78" s="138">
        <f t="shared" si="22"/>
        <v>364.71216703566245</v>
      </c>
      <c r="S78" s="139">
        <f t="shared" si="23"/>
        <v>334.11277288417119</v>
      </c>
      <c r="T78" s="140">
        <f t="shared" si="15"/>
        <v>18.808498599583743</v>
      </c>
      <c r="U78" s="141">
        <f t="shared" si="16"/>
        <v>93.048341909134706</v>
      </c>
      <c r="V78" s="142">
        <f t="shared" si="17"/>
        <v>-4.7121670356624463</v>
      </c>
      <c r="W78" s="142">
        <f t="shared" si="18"/>
        <v>25.887227115828807</v>
      </c>
      <c r="X78" s="142"/>
      <c r="Y78" s="198"/>
    </row>
    <row r="79" spans="13:25" hidden="1">
      <c r="M79" s="205">
        <f t="shared" si="11"/>
        <v>29.440686919559404</v>
      </c>
      <c r="N79" s="206">
        <f t="shared" si="21"/>
        <v>29.440686919559404</v>
      </c>
      <c r="O79" s="207">
        <f t="shared" si="12"/>
        <v>0.51383692079513854</v>
      </c>
      <c r="P79" s="138">
        <f t="shared" si="13"/>
        <v>341.22113646196692</v>
      </c>
      <c r="Q79" s="138">
        <f t="shared" si="14"/>
        <v>266.92202302931463</v>
      </c>
      <c r="R79" s="138">
        <f t="shared" si="22"/>
        <v>364.91603253831704</v>
      </c>
      <c r="S79" s="139">
        <f t="shared" si="23"/>
        <v>333.90890738151654</v>
      </c>
      <c r="T79" s="140">
        <f t="shared" si="15"/>
        <v>18.778863538033079</v>
      </c>
      <c r="U79" s="141">
        <f t="shared" si="16"/>
        <v>93.07797697068537</v>
      </c>
      <c r="V79" s="142">
        <f t="shared" si="17"/>
        <v>-4.9160325383170402</v>
      </c>
      <c r="W79" s="142">
        <f t="shared" si="18"/>
        <v>26.091092618483458</v>
      </c>
      <c r="X79" s="142"/>
      <c r="Y79" s="198"/>
    </row>
    <row r="80" spans="13:25" hidden="1">
      <c r="M80" s="205">
        <f t="shared" si="11"/>
        <v>29.057395390691816</v>
      </c>
      <c r="N80" s="206">
        <f t="shared" si="21"/>
        <v>29.057395390691816</v>
      </c>
      <c r="O80" s="207">
        <f t="shared" si="12"/>
        <v>0.50714722162139625</v>
      </c>
      <c r="P80" s="138">
        <f t="shared" si="13"/>
        <v>341.24618848210315</v>
      </c>
      <c r="Q80" s="138">
        <f t="shared" si="14"/>
        <v>266.89697100917834</v>
      </c>
      <c r="R80" s="138">
        <f t="shared" si="22"/>
        <v>365.10454352034219</v>
      </c>
      <c r="S80" s="139">
        <f t="shared" si="23"/>
        <v>333.72039639949145</v>
      </c>
      <c r="T80" s="140">
        <f t="shared" si="15"/>
        <v>18.75381151789685</v>
      </c>
      <c r="U80" s="141">
        <f t="shared" si="16"/>
        <v>93.103028990821656</v>
      </c>
      <c r="V80" s="142">
        <f t="shared" si="17"/>
        <v>-5.1045435203421903</v>
      </c>
      <c r="W80" s="142">
        <f t="shared" si="18"/>
        <v>26.279603600508551</v>
      </c>
      <c r="X80" s="142"/>
      <c r="Y80" s="198"/>
    </row>
    <row r="81" spans="13:25" hidden="1">
      <c r="M81" s="205">
        <f t="shared" si="11"/>
        <v>28.674103861824229</v>
      </c>
      <c r="N81" s="206">
        <f t="shared" si="21"/>
        <v>28.674103861824229</v>
      </c>
      <c r="O81" s="207">
        <f t="shared" si="12"/>
        <v>0.50045752244765396</v>
      </c>
      <c r="P81" s="138">
        <f t="shared" si="13"/>
        <v>341.26671859334459</v>
      </c>
      <c r="Q81" s="138">
        <f t="shared" si="14"/>
        <v>266.87644089793696</v>
      </c>
      <c r="R81" s="138">
        <f t="shared" si="22"/>
        <v>365.2783937507204</v>
      </c>
      <c r="S81" s="139">
        <f t="shared" si="23"/>
        <v>333.54654616911324</v>
      </c>
      <c r="T81" s="140">
        <f t="shared" si="15"/>
        <v>18.733281406655408</v>
      </c>
      <c r="U81" s="141">
        <f t="shared" si="16"/>
        <v>93.123559102063041</v>
      </c>
      <c r="V81" s="142">
        <f t="shared" si="17"/>
        <v>-5.2783937507203973</v>
      </c>
      <c r="W81" s="142">
        <f t="shared" si="18"/>
        <v>26.453453830886758</v>
      </c>
      <c r="X81" s="142"/>
      <c r="Y81" s="198"/>
    </row>
    <row r="82" spans="13:25" hidden="1">
      <c r="M82" s="205">
        <f t="shared" si="11"/>
        <v>28.290812332956641</v>
      </c>
      <c r="N82" s="206">
        <f t="shared" si="21"/>
        <v>28.290812332956641</v>
      </c>
      <c r="O82" s="207">
        <f t="shared" si="12"/>
        <v>0.49376782327391167</v>
      </c>
      <c r="P82" s="138">
        <f t="shared" si="13"/>
        <v>341.28278460666814</v>
      </c>
      <c r="Q82" s="138">
        <f t="shared" si="14"/>
        <v>266.86037488461341</v>
      </c>
      <c r="R82" s="138">
        <f t="shared" si="22"/>
        <v>365.43820128035634</v>
      </c>
      <c r="S82" s="139">
        <f t="shared" si="23"/>
        <v>333.3867386394773</v>
      </c>
      <c r="T82" s="140">
        <f t="shared" si="15"/>
        <v>18.717215393331855</v>
      </c>
      <c r="U82" s="141">
        <f t="shared" si="16"/>
        <v>93.139625115386593</v>
      </c>
      <c r="V82" s="142">
        <f t="shared" si="17"/>
        <v>-5.4382012803563384</v>
      </c>
      <c r="W82" s="142">
        <f t="shared" si="18"/>
        <v>26.613261360522699</v>
      </c>
      <c r="X82" s="142"/>
      <c r="Y82" s="198"/>
    </row>
    <row r="83" spans="13:25" hidden="1">
      <c r="M83" s="205">
        <f t="shared" si="11"/>
        <v>27.907520804089053</v>
      </c>
      <c r="N83" s="206">
        <f t="shared" si="21"/>
        <v>27.907520804089053</v>
      </c>
      <c r="O83" s="207">
        <f t="shared" si="12"/>
        <v>0.48707812410016937</v>
      </c>
      <c r="P83" s="138">
        <f t="shared" si="13"/>
        <v>341.29444112883158</v>
      </c>
      <c r="Q83" s="138">
        <f t="shared" si="14"/>
        <v>266.84871836244997</v>
      </c>
      <c r="R83" s="138">
        <f t="shared" si="22"/>
        <v>365.58451811260392</v>
      </c>
      <c r="S83" s="139">
        <f t="shared" si="23"/>
        <v>333.24042180722972</v>
      </c>
      <c r="T83" s="140">
        <f t="shared" si="15"/>
        <v>18.705558871168421</v>
      </c>
      <c r="U83" s="141">
        <f t="shared" si="16"/>
        <v>93.151281637550028</v>
      </c>
      <c r="V83" s="142">
        <f t="shared" si="17"/>
        <v>-5.5845181126039165</v>
      </c>
      <c r="W83" s="142">
        <f t="shared" si="18"/>
        <v>26.759578192770277</v>
      </c>
      <c r="X83" s="142"/>
      <c r="Y83" s="198"/>
    </row>
    <row r="84" spans="13:25" hidden="1">
      <c r="M84" s="205">
        <f t="shared" si="11"/>
        <v>27.524229275221465</v>
      </c>
      <c r="N84" s="206">
        <f t="shared" si="21"/>
        <v>27.524229275221465</v>
      </c>
      <c r="O84" s="207">
        <f t="shared" si="12"/>
        <v>0.48038842492642708</v>
      </c>
      <c r="P84" s="138">
        <f t="shared" si="13"/>
        <v>341.30173967134868</v>
      </c>
      <c r="Q84" s="138">
        <f t="shared" si="14"/>
        <v>266.84141981993281</v>
      </c>
      <c r="R84" s="138">
        <f t="shared" si="22"/>
        <v>365.71783820862328</v>
      </c>
      <c r="S84" s="139">
        <f t="shared" si="23"/>
        <v>333.10710171121036</v>
      </c>
      <c r="T84" s="140">
        <f t="shared" si="15"/>
        <v>18.698260328651315</v>
      </c>
      <c r="U84" s="141">
        <f t="shared" si="16"/>
        <v>93.15858018006719</v>
      </c>
      <c r="V84" s="142">
        <f t="shared" si="17"/>
        <v>-5.7178382086232773</v>
      </c>
      <c r="W84" s="142">
        <f t="shared" si="18"/>
        <v>26.892898288789638</v>
      </c>
      <c r="X84" s="142"/>
      <c r="Y84" s="198"/>
    </row>
    <row r="85" spans="13:25" hidden="1">
      <c r="M85" s="205">
        <f t="shared" si="11"/>
        <v>27.140937746353877</v>
      </c>
      <c r="N85" s="206">
        <f t="shared" si="21"/>
        <v>27.140937746353877</v>
      </c>
      <c r="O85" s="207">
        <f t="shared" si="12"/>
        <v>0.47369872575268479</v>
      </c>
      <c r="P85" s="138">
        <f t="shared" si="13"/>
        <v>341.30472875162837</v>
      </c>
      <c r="Q85" s="138">
        <f t="shared" si="14"/>
        <v>266.83843073965318</v>
      </c>
      <c r="R85" s="138">
        <f t="shared" si="22"/>
        <v>365.83860415660985</v>
      </c>
      <c r="S85" s="139">
        <f t="shared" si="23"/>
        <v>332.98633576322374</v>
      </c>
      <c r="T85" s="140">
        <f t="shared" si="15"/>
        <v>18.695271248371625</v>
      </c>
      <c r="U85" s="141">
        <f t="shared" si="16"/>
        <v>93.161569260346823</v>
      </c>
      <c r="V85" s="142">
        <f t="shared" si="17"/>
        <v>-5.838604156609847</v>
      </c>
      <c r="W85" s="142">
        <f t="shared" si="18"/>
        <v>27.013664236776265</v>
      </c>
      <c r="X85" s="142"/>
      <c r="Y85" s="198"/>
    </row>
    <row r="86" spans="13:25" hidden="1">
      <c r="M86" s="205">
        <f t="shared" si="11"/>
        <v>26.75764621748629</v>
      </c>
      <c r="N86" s="206">
        <f t="shared" si="21"/>
        <v>26.75764621748629</v>
      </c>
      <c r="O86" s="207">
        <f t="shared" si="12"/>
        <v>0.4670090265789425</v>
      </c>
      <c r="P86" s="138">
        <f t="shared" si="13"/>
        <v>341.30345398674336</v>
      </c>
      <c r="Q86" s="138">
        <f t="shared" si="14"/>
        <v>266.83970550453819</v>
      </c>
      <c r="R86" s="138">
        <f t="shared" si="22"/>
        <v>365.94721275834826</v>
      </c>
      <c r="S86" s="139">
        <f t="shared" si="23"/>
        <v>332.87772716148538</v>
      </c>
      <c r="T86" s="140">
        <f t="shared" si="15"/>
        <v>18.696546013256636</v>
      </c>
      <c r="U86" s="141">
        <f t="shared" si="16"/>
        <v>93.160294495461812</v>
      </c>
      <c r="V86" s="142">
        <f t="shared" si="17"/>
        <v>-5.9472127583482575</v>
      </c>
      <c r="W86" s="142">
        <f t="shared" si="18"/>
        <v>27.122272838514618</v>
      </c>
      <c r="X86" s="142"/>
      <c r="Y86" s="198"/>
    </row>
    <row r="87" spans="13:25" hidden="1">
      <c r="M87" s="205">
        <f t="shared" si="11"/>
        <v>26.374354688618702</v>
      </c>
      <c r="N87" s="206">
        <f t="shared" si="21"/>
        <v>26.374354688618702</v>
      </c>
      <c r="O87" s="207">
        <f t="shared" si="12"/>
        <v>0.46031932740520015</v>
      </c>
      <c r="P87" s="138">
        <f t="shared" si="13"/>
        <v>341.29795818025144</v>
      </c>
      <c r="Q87" s="138">
        <f t="shared" si="14"/>
        <v>266.84520131103005</v>
      </c>
      <c r="R87" s="138">
        <f t="shared" si="22"/>
        <v>366.04401973019145</v>
      </c>
      <c r="S87" s="139">
        <f t="shared" si="23"/>
        <v>332.78092018964219</v>
      </c>
      <c r="T87" s="140">
        <f t="shared" si="15"/>
        <v>18.702041819748558</v>
      </c>
      <c r="U87" s="141">
        <f t="shared" si="16"/>
        <v>93.154798688969947</v>
      </c>
      <c r="V87" s="142">
        <f t="shared" si="17"/>
        <v>-6.0440197301914509</v>
      </c>
      <c r="W87" s="142">
        <f t="shared" si="18"/>
        <v>27.219079810357812</v>
      </c>
      <c r="X87" s="142"/>
      <c r="Y87" s="198"/>
    </row>
    <row r="88" spans="13:25" hidden="1">
      <c r="M88" s="205">
        <f t="shared" si="11"/>
        <v>25.991063159751114</v>
      </c>
      <c r="N88" s="206">
        <f t="shared" si="21"/>
        <v>25.991063159751114</v>
      </c>
      <c r="O88" s="207">
        <f t="shared" si="12"/>
        <v>0.45362962823145786</v>
      </c>
      <c r="P88" s="138">
        <f t="shared" si="13"/>
        <v>341.28828140245253</v>
      </c>
      <c r="Q88" s="138">
        <f t="shared" si="14"/>
        <v>266.85487808882903</v>
      </c>
      <c r="R88" s="138">
        <f t="shared" si="22"/>
        <v>366.12934367305348</v>
      </c>
      <c r="S88" s="139">
        <f t="shared" si="23"/>
        <v>332.69559624678016</v>
      </c>
      <c r="T88" s="140">
        <f t="shared" si="15"/>
        <v>18.711718597547474</v>
      </c>
      <c r="U88" s="141">
        <f t="shared" si="16"/>
        <v>93.145121911170975</v>
      </c>
      <c r="V88" s="142">
        <f t="shared" si="17"/>
        <v>-6.1293436730534836</v>
      </c>
      <c r="W88" s="142">
        <f t="shared" si="18"/>
        <v>27.304403753219844</v>
      </c>
      <c r="X88" s="142"/>
      <c r="Y88" s="198"/>
    </row>
    <row r="89" spans="13:25" hidden="1">
      <c r="M89" s="205">
        <f t="shared" si="11"/>
        <v>25.607771630883526</v>
      </c>
      <c r="N89" s="206">
        <f t="shared" si="21"/>
        <v>25.607771630883526</v>
      </c>
      <c r="O89" s="207">
        <f t="shared" si="12"/>
        <v>0.44693992905771557</v>
      </c>
      <c r="P89" s="138">
        <f t="shared" si="13"/>
        <v>341.27446106442699</v>
      </c>
      <c r="Q89" s="138">
        <f t="shared" si="14"/>
        <v>266.86869842685456</v>
      </c>
      <c r="R89" s="138">
        <f t="shared" si="22"/>
        <v>366.20346943357174</v>
      </c>
      <c r="S89" s="139">
        <f t="shared" si="23"/>
        <v>332.62147048626184</v>
      </c>
      <c r="T89" s="140">
        <f t="shared" si="15"/>
        <v>18.725538935573013</v>
      </c>
      <c r="U89" s="141">
        <f t="shared" si="16"/>
        <v>93.131301573145436</v>
      </c>
      <c r="V89" s="142">
        <f t="shared" si="17"/>
        <v>-6.2034694335717404</v>
      </c>
      <c r="W89" s="142">
        <f t="shared" si="18"/>
        <v>27.378529513738158</v>
      </c>
      <c r="X89" s="142"/>
      <c r="Y89" s="198"/>
    </row>
    <row r="90" spans="13:25" hidden="1">
      <c r="M90" s="205">
        <f t="shared" si="11"/>
        <v>25.224480102015939</v>
      </c>
      <c r="N90" s="206">
        <f t="shared" si="21"/>
        <v>25.224480102015939</v>
      </c>
      <c r="O90" s="207">
        <f t="shared" si="12"/>
        <v>0.44025022988397328</v>
      </c>
      <c r="P90" s="138">
        <f t="shared" si="13"/>
        <v>341.2565319861697</v>
      </c>
      <c r="Q90" s="138">
        <f t="shared" si="14"/>
        <v>266.88662750511185</v>
      </c>
      <c r="R90" s="138">
        <f t="shared" si="22"/>
        <v>366.26665095358385</v>
      </c>
      <c r="S90" s="139">
        <f t="shared" si="23"/>
        <v>332.55828896624979</v>
      </c>
      <c r="T90" s="140">
        <f t="shared" si="15"/>
        <v>18.743468013830295</v>
      </c>
      <c r="U90" s="141">
        <f t="shared" si="16"/>
        <v>93.113372494888154</v>
      </c>
      <c r="V90" s="142">
        <f t="shared" si="17"/>
        <v>-6.2666509535838486</v>
      </c>
      <c r="W90" s="142">
        <f t="shared" si="18"/>
        <v>27.441711033750209</v>
      </c>
      <c r="X90" s="142"/>
      <c r="Y90" s="198"/>
    </row>
    <row r="91" spans="13:25" hidden="1">
      <c r="M91" s="205">
        <f t="shared" si="11"/>
        <v>24.841188573148351</v>
      </c>
      <c r="N91" s="206">
        <f t="shared" si="21"/>
        <v>24.841188573148351</v>
      </c>
      <c r="O91" s="207">
        <f t="shared" si="12"/>
        <v>0.43356053071023098</v>
      </c>
      <c r="P91" s="138">
        <f t="shared" si="13"/>
        <v>341.23452645910197</v>
      </c>
      <c r="Q91" s="138">
        <f t="shared" si="14"/>
        <v>266.90863303217958</v>
      </c>
      <c r="R91" s="138">
        <f t="shared" si="22"/>
        <v>366.31911368557229</v>
      </c>
      <c r="S91" s="139">
        <f t="shared" si="23"/>
        <v>332.50582623426129</v>
      </c>
      <c r="T91" s="140">
        <f t="shared" si="15"/>
        <v>18.765473540898029</v>
      </c>
      <c r="U91" s="141">
        <f t="shared" si="16"/>
        <v>93.09136696782042</v>
      </c>
      <c r="V91" s="142">
        <f t="shared" si="17"/>
        <v>-6.3191136855722903</v>
      </c>
      <c r="W91" s="142">
        <f t="shared" si="18"/>
        <v>27.494173765738708</v>
      </c>
      <c r="X91" s="142"/>
      <c r="Y91" s="198"/>
    </row>
    <row r="92" spans="13:25" hidden="1">
      <c r="M92" s="205">
        <f t="shared" si="11"/>
        <v>24.457897044280763</v>
      </c>
      <c r="N92" s="206">
        <f t="shared" si="21"/>
        <v>24.457897044280763</v>
      </c>
      <c r="O92" s="207">
        <f t="shared" si="12"/>
        <v>0.42687083153648869</v>
      </c>
      <c r="P92" s="138">
        <f t="shared" si="13"/>
        <v>341.2084743032151</v>
      </c>
      <c r="Q92" s="138">
        <f t="shared" si="14"/>
        <v>266.9346851880664</v>
      </c>
      <c r="R92" s="138">
        <f t="shared" si="22"/>
        <v>366.36105663637704</v>
      </c>
      <c r="S92" s="139">
        <f t="shared" si="23"/>
        <v>332.4638832834566</v>
      </c>
      <c r="T92" s="140">
        <f t="shared" si="15"/>
        <v>18.791525696784902</v>
      </c>
      <c r="U92" s="141">
        <f t="shared" si="16"/>
        <v>93.065314811933604</v>
      </c>
      <c r="V92" s="142">
        <f t="shared" si="17"/>
        <v>-6.3610566363770431</v>
      </c>
      <c r="W92" s="142">
        <f t="shared" si="18"/>
        <v>27.536116716543404</v>
      </c>
      <c r="X92" s="142"/>
      <c r="Y92" s="198"/>
    </row>
    <row r="93" spans="13:25" hidden="1">
      <c r="M93" s="205">
        <f t="shared" si="11"/>
        <v>24.074605515413175</v>
      </c>
      <c r="N93" s="206">
        <f t="shared" si="21"/>
        <v>24.074605515413175</v>
      </c>
      <c r="O93" s="207">
        <f t="shared" si="12"/>
        <v>0.4201811323627464</v>
      </c>
      <c r="P93" s="138">
        <f t="shared" si="13"/>
        <v>341.1784029190726</v>
      </c>
      <c r="Q93" s="138">
        <f t="shared" si="14"/>
        <v>266.9647565722089</v>
      </c>
      <c r="R93" s="138">
        <f t="shared" si="22"/>
        <v>366.39265408925166</v>
      </c>
      <c r="S93" s="139">
        <f t="shared" si="23"/>
        <v>332.43228583058192</v>
      </c>
      <c r="T93" s="140">
        <f t="shared" si="15"/>
        <v>18.821597080927404</v>
      </c>
      <c r="U93" s="141">
        <f t="shared" si="16"/>
        <v>93.035243427791102</v>
      </c>
      <c r="V93" s="142">
        <f t="shared" si="17"/>
        <v>-6.3926540892516641</v>
      </c>
      <c r="W93" s="142">
        <f t="shared" si="18"/>
        <v>27.567714169418082</v>
      </c>
      <c r="X93" s="142"/>
      <c r="Y93" s="198"/>
    </row>
    <row r="94" spans="13:25" hidden="1">
      <c r="M94" s="205">
        <f t="shared" si="11"/>
        <v>23.691313986545588</v>
      </c>
      <c r="N94" s="206">
        <f t="shared" si="21"/>
        <v>23.691313986545588</v>
      </c>
      <c r="O94" s="207">
        <f t="shared" si="12"/>
        <v>0.41349143318900405</v>
      </c>
      <c r="P94" s="138">
        <f t="shared" si="13"/>
        <v>341.14433733487448</v>
      </c>
      <c r="Q94" s="138">
        <f t="shared" si="14"/>
        <v>266.99882215640707</v>
      </c>
      <c r="R94" s="138">
        <f t="shared" si="22"/>
        <v>366.41405704449386</v>
      </c>
      <c r="S94" s="139">
        <f t="shared" si="23"/>
        <v>332.41088287533978</v>
      </c>
      <c r="T94" s="140">
        <f t="shared" si="15"/>
        <v>18.855662665125521</v>
      </c>
      <c r="U94" s="141">
        <f t="shared" si="16"/>
        <v>93.001177843592927</v>
      </c>
      <c r="V94" s="142">
        <f t="shared" si="17"/>
        <v>-6.4140570444938589</v>
      </c>
      <c r="W94" s="142">
        <f t="shared" si="18"/>
        <v>27.58911712466022</v>
      </c>
      <c r="X94" s="142"/>
      <c r="Y94" s="198"/>
    </row>
    <row r="95" spans="13:25" hidden="1">
      <c r="M95" s="205">
        <f t="shared" si="11"/>
        <v>23.308022457678</v>
      </c>
      <c r="N95" s="206">
        <f t="shared" si="21"/>
        <v>23.308022457678</v>
      </c>
      <c r="O95" s="207">
        <f t="shared" si="12"/>
        <v>0.40680173401526176</v>
      </c>
      <c r="P95" s="138">
        <f t="shared" si="13"/>
        <v>341.10630024876139</v>
      </c>
      <c r="Q95" s="138">
        <f t="shared" si="14"/>
        <v>267.03685924252017</v>
      </c>
      <c r="R95" s="138">
        <f t="shared" si="22"/>
        <v>366.42539441084227</v>
      </c>
      <c r="S95" s="139">
        <f t="shared" si="23"/>
        <v>332.39954550899131</v>
      </c>
      <c r="T95" s="140">
        <f t="shared" si="15"/>
        <v>18.893699751238614</v>
      </c>
      <c r="U95" s="141">
        <f t="shared" si="16"/>
        <v>92.963140757479835</v>
      </c>
      <c r="V95" s="142">
        <f t="shared" si="17"/>
        <v>-6.4253944108422729</v>
      </c>
      <c r="W95" s="142">
        <f t="shared" si="18"/>
        <v>27.600454491008691</v>
      </c>
      <c r="X95" s="142"/>
      <c r="Y95" s="198"/>
    </row>
    <row r="96" spans="13:25" hidden="1">
      <c r="M96" s="205">
        <f t="shared" si="11"/>
        <v>22.924730928810412</v>
      </c>
      <c r="N96" s="206">
        <f t="shared" si="21"/>
        <v>22.924730928810412</v>
      </c>
      <c r="O96" s="207">
        <f t="shared" si="12"/>
        <v>0.40011203484151947</v>
      </c>
      <c r="P96" s="138">
        <f t="shared" si="13"/>
        <v>341.06431206651712</v>
      </c>
      <c r="Q96" s="138">
        <f t="shared" si="14"/>
        <v>267.07884742476443</v>
      </c>
      <c r="R96" s="138">
        <f t="shared" si="22"/>
        <v>366.42677397318619</v>
      </c>
      <c r="S96" s="139">
        <f t="shared" si="23"/>
        <v>332.39816594664745</v>
      </c>
      <c r="T96" s="140">
        <f t="shared" si="15"/>
        <v>18.935687933482882</v>
      </c>
      <c r="U96" s="141">
        <f t="shared" si="16"/>
        <v>92.921152575235567</v>
      </c>
      <c r="V96" s="142">
        <f t="shared" si="17"/>
        <v>-6.4267739731861866</v>
      </c>
      <c r="W96" s="142">
        <f t="shared" si="18"/>
        <v>27.601834053352547</v>
      </c>
      <c r="X96" s="142"/>
      <c r="Y96" s="198"/>
    </row>
    <row r="97" spans="13:25" hidden="1">
      <c r="M97" s="205">
        <f t="shared" ref="M97:M112" si="24">IF(N97&gt;maxn,maxn,IF(N97&lt;mins,mins,N97))</f>
        <v>22.541439399942824</v>
      </c>
      <c r="N97" s="206">
        <f t="shared" si="21"/>
        <v>22.541439399942824</v>
      </c>
      <c r="O97" s="207">
        <f t="shared" ref="O97:O112" si="25">RADIANS(M97)</f>
        <v>0.39342233566777718</v>
      </c>
      <c r="P97" s="138">
        <f t="shared" ref="P97:P112" si="26">IFERROR(DEGREES(grt+ACOS((SIN(h)-SIN(d)*SIN(O97))/COS(d)/COS(O97))),#N/A)</f>
        <v>341.01839093480459</v>
      </c>
      <c r="Q97" s="138">
        <f t="shared" ref="Q97:Q112" si="27">IFERROR(DEGREES(grt-ACOS((SIN(h)-SIN(d)*SIN(O97))/COS(d)/COS(O97))),#N/A)</f>
        <v>267.12476855647697</v>
      </c>
      <c r="R97" s="138">
        <f t="shared" si="22"/>
        <v>366.41828315652776</v>
      </c>
      <c r="S97" s="139">
        <f t="shared" si="23"/>
        <v>332.40665676330582</v>
      </c>
      <c r="T97" s="140">
        <f t="shared" ref="T97:T112" si="28">IF(P97&lt;0,ABS(P97),IF(P97&gt;360,-(P97-360),IF(AND(P97&gt;180,P97&lt;360),ABS(360-P97),-P97)))</f>
        <v>18.981609065195414</v>
      </c>
      <c r="U97" s="141">
        <f t="shared" ref="U97:U112" si="29">IF(Q97&lt;0,ABS(Q97),IF(Q97&gt;360,Q97-(Q97-360),IF(AND(Q97&gt;180,Q97&lt;360),ABS(360-Q97),-Q97)))</f>
        <v>92.875231443523035</v>
      </c>
      <c r="V97" s="142">
        <f t="shared" ref="V97:V112" si="30">IF(R97&lt;0,ABS(R97),IF(R97&gt;360,-(R97-360),IF(AND(R97&gt;180,R97&lt;360),ABS(360-R97),-R97)))</f>
        <v>-6.4182831565277638</v>
      </c>
      <c r="W97" s="142">
        <f t="shared" ref="W97:W112" si="31">IF(S97&lt;0,ABS(S97),IF(S97&gt;360,-(S97-360),IF(AND(S97&gt;180,S97&lt;360),ABS(360-S97),-S97)))</f>
        <v>27.593343236694182</v>
      </c>
      <c r="X97" s="142"/>
      <c r="Y97" s="198"/>
    </row>
    <row r="98" spans="13:25" hidden="1">
      <c r="M98" s="205">
        <f t="shared" si="24"/>
        <v>22.158147871075236</v>
      </c>
      <c r="N98" s="206">
        <f t="shared" si="21"/>
        <v>22.158147871075236</v>
      </c>
      <c r="O98" s="207">
        <f t="shared" si="25"/>
        <v>0.38673263649403489</v>
      </c>
      <c r="P98" s="138">
        <f t="shared" si="26"/>
        <v>340.96855277005255</v>
      </c>
      <c r="Q98" s="138">
        <f t="shared" si="27"/>
        <v>267.174606721229</v>
      </c>
      <c r="R98" s="138">
        <f t="shared" si="22"/>
        <v>366.39998960132937</v>
      </c>
      <c r="S98" s="139">
        <f t="shared" si="23"/>
        <v>332.42495031850427</v>
      </c>
      <c r="T98" s="140">
        <f t="shared" si="28"/>
        <v>19.031447229947446</v>
      </c>
      <c r="U98" s="141">
        <f t="shared" si="29"/>
        <v>92.825393278771003</v>
      </c>
      <c r="V98" s="142">
        <f t="shared" si="30"/>
        <v>-6.3999896013293665</v>
      </c>
      <c r="W98" s="142">
        <f t="shared" si="31"/>
        <v>27.575049681495727</v>
      </c>
      <c r="X98" s="142"/>
      <c r="Y98" s="198"/>
    </row>
    <row r="99" spans="13:25" hidden="1">
      <c r="M99" s="205">
        <f t="shared" si="24"/>
        <v>21.774856342207649</v>
      </c>
      <c r="N99" s="206">
        <f t="shared" si="21"/>
        <v>21.774856342207649</v>
      </c>
      <c r="O99" s="207">
        <f t="shared" si="25"/>
        <v>0.3800429373202926</v>
      </c>
      <c r="P99" s="138">
        <f t="shared" si="26"/>
        <v>340.91481128308942</v>
      </c>
      <c r="Q99" s="138">
        <f t="shared" si="27"/>
        <v>267.22834820819213</v>
      </c>
      <c r="R99" s="138">
        <f t="shared" si="22"/>
        <v>366.37194156113725</v>
      </c>
      <c r="S99" s="139">
        <f t="shared" si="23"/>
        <v>332.45299835869639</v>
      </c>
      <c r="T99" s="140">
        <f t="shared" si="28"/>
        <v>19.085188716910579</v>
      </c>
      <c r="U99" s="141">
        <f t="shared" si="29"/>
        <v>92.771651791807869</v>
      </c>
      <c r="V99" s="142">
        <f t="shared" si="30"/>
        <v>-6.3719415611372483</v>
      </c>
      <c r="W99" s="142">
        <f t="shared" si="31"/>
        <v>27.547001641303609</v>
      </c>
      <c r="X99" s="142"/>
      <c r="Y99" s="198"/>
    </row>
    <row r="100" spans="13:25" hidden="1">
      <c r="M100" s="205">
        <f t="shared" si="24"/>
        <v>21.391564813340061</v>
      </c>
      <c r="N100" s="206">
        <f t="shared" si="21"/>
        <v>21.391564813340061</v>
      </c>
      <c r="O100" s="207">
        <f t="shared" si="25"/>
        <v>0.3733532381465503</v>
      </c>
      <c r="P100" s="138">
        <f t="shared" si="26"/>
        <v>340.85717799960372</v>
      </c>
      <c r="Q100" s="138">
        <f t="shared" si="27"/>
        <v>267.28598149167777</v>
      </c>
      <c r="R100" s="138">
        <f t="shared" si="22"/>
        <v>366.33416812954277</v>
      </c>
      <c r="S100" s="139">
        <f t="shared" si="23"/>
        <v>332.49077179029086</v>
      </c>
      <c r="T100" s="140">
        <f t="shared" si="28"/>
        <v>19.142822000396279</v>
      </c>
      <c r="U100" s="141">
        <f t="shared" si="29"/>
        <v>92.714018508322226</v>
      </c>
      <c r="V100" s="142">
        <f t="shared" si="30"/>
        <v>-6.3341681295427748</v>
      </c>
      <c r="W100" s="142">
        <f t="shared" si="31"/>
        <v>27.509228209709136</v>
      </c>
      <c r="X100" s="142"/>
      <c r="Y100" s="198"/>
    </row>
    <row r="101" spans="13:25" hidden="1">
      <c r="M101" s="205">
        <f t="shared" si="24"/>
        <v>21.008273284472473</v>
      </c>
      <c r="N101" s="206">
        <f t="shared" si="21"/>
        <v>21.008273284472473</v>
      </c>
      <c r="O101" s="207">
        <f t="shared" si="25"/>
        <v>0.36666353897280796</v>
      </c>
      <c r="P101" s="138">
        <f t="shared" si="26"/>
        <v>340.79566227649144</v>
      </c>
      <c r="Q101" s="138">
        <f t="shared" si="27"/>
        <v>267.34749721479011</v>
      </c>
      <c r="R101" s="138">
        <f t="shared" si="22"/>
        <v>366.28667929995356</v>
      </c>
      <c r="S101" s="139">
        <f t="shared" si="23"/>
        <v>332.53826061988002</v>
      </c>
      <c r="T101" s="140">
        <f t="shared" si="28"/>
        <v>19.204337723508559</v>
      </c>
      <c r="U101" s="141">
        <f t="shared" si="29"/>
        <v>92.65250278520989</v>
      </c>
      <c r="V101" s="142">
        <f t="shared" si="30"/>
        <v>-6.2866792999535619</v>
      </c>
      <c r="W101" s="142">
        <f t="shared" si="31"/>
        <v>27.46173938011998</v>
      </c>
      <c r="X101" s="142"/>
      <c r="Y101" s="198"/>
    </row>
    <row r="102" spans="13:25" hidden="1">
      <c r="M102" s="205">
        <f t="shared" si="24"/>
        <v>20.624981755604885</v>
      </c>
      <c r="N102" s="206">
        <f t="shared" si="21"/>
        <v>20.624981755604885</v>
      </c>
      <c r="O102" s="207">
        <f t="shared" si="25"/>
        <v>0.35997383979906566</v>
      </c>
      <c r="P102" s="138">
        <f t="shared" si="26"/>
        <v>340.7302713141334</v>
      </c>
      <c r="Q102" s="138">
        <f t="shared" si="27"/>
        <v>267.41288817714815</v>
      </c>
      <c r="R102" s="138">
        <f t="shared" si="22"/>
        <v>366.22946585817522</v>
      </c>
      <c r="S102" s="139">
        <f t="shared" si="23"/>
        <v>332.59547406165842</v>
      </c>
      <c r="T102" s="140">
        <f t="shared" si="28"/>
        <v>19.269728685866596</v>
      </c>
      <c r="U102" s="141">
        <f t="shared" si="29"/>
        <v>92.587111822851853</v>
      </c>
      <c r="V102" s="142">
        <f t="shared" si="30"/>
        <v>-6.2294658581752174</v>
      </c>
      <c r="W102" s="142">
        <f t="shared" si="31"/>
        <v>27.404525938341578</v>
      </c>
      <c r="X102" s="142"/>
      <c r="Y102" s="198"/>
    </row>
    <row r="103" spans="13:25" hidden="1">
      <c r="M103" s="205">
        <f t="shared" si="24"/>
        <v>20.241690226737298</v>
      </c>
      <c r="N103" s="206">
        <f t="shared" si="21"/>
        <v>20.241690226737298</v>
      </c>
      <c r="O103" s="207">
        <f t="shared" si="25"/>
        <v>0.35328414062532337</v>
      </c>
      <c r="P103" s="138">
        <f t="shared" si="26"/>
        <v>340.66101016462841</v>
      </c>
      <c r="Q103" s="138">
        <f t="shared" si="27"/>
        <v>267.48214932665314</v>
      </c>
      <c r="R103" s="138">
        <f t="shared" si="22"/>
        <v>366.16249910431236</v>
      </c>
      <c r="S103" s="139">
        <f t="shared" si="23"/>
        <v>332.66244081552122</v>
      </c>
      <c r="T103" s="140">
        <f t="shared" si="28"/>
        <v>19.338989835371592</v>
      </c>
      <c r="U103" s="141">
        <f t="shared" si="29"/>
        <v>92.517850673346857</v>
      </c>
      <c r="V103" s="142">
        <f t="shared" si="30"/>
        <v>-6.16249910431236</v>
      </c>
      <c r="W103" s="142">
        <f t="shared" si="31"/>
        <v>27.337559184478778</v>
      </c>
      <c r="X103" s="142"/>
      <c r="Y103" s="198"/>
    </row>
    <row r="104" spans="13:25" hidden="1">
      <c r="M104" s="205">
        <f t="shared" si="24"/>
        <v>19.85839869786971</v>
      </c>
      <c r="N104" s="206">
        <f t="shared" si="21"/>
        <v>19.85839869786971</v>
      </c>
      <c r="O104" s="207">
        <f t="shared" si="25"/>
        <v>0.34659444145158108</v>
      </c>
      <c r="P104" s="138">
        <f t="shared" si="26"/>
        <v>340.58788173599095</v>
      </c>
      <c r="Q104" s="138">
        <f t="shared" si="27"/>
        <v>267.55527775529055</v>
      </c>
      <c r="R104" s="138">
        <f t="shared" ref="R104:R135" si="32">IFERROR(DEGREES(grt_+ACOS((SIN(h_)-SIN(d_)*SIN(O104))/COS(d_)/COS(O104))),#N/A)</f>
        <v>366.08573039685405</v>
      </c>
      <c r="S104" s="139">
        <f t="shared" ref="S104:S135" si="33">IFERROR(DEGREES(grt_-ACOS((SIN(h_)-SIN(d_)*SIN(O104))/COS(d_)/COS(O104))),#N/A)</f>
        <v>332.73920952297959</v>
      </c>
      <c r="T104" s="140">
        <f t="shared" si="28"/>
        <v>19.412118264009052</v>
      </c>
      <c r="U104" s="141">
        <f t="shared" si="29"/>
        <v>92.444722244709453</v>
      </c>
      <c r="V104" s="142">
        <f t="shared" si="30"/>
        <v>-6.0857303968540464</v>
      </c>
      <c r="W104" s="142">
        <f t="shared" si="31"/>
        <v>27.260790477020407</v>
      </c>
      <c r="X104" s="142"/>
      <c r="Y104" s="198"/>
    </row>
    <row r="105" spans="13:25" hidden="1">
      <c r="M105" s="205">
        <f t="shared" si="24"/>
        <v>19.475107169002122</v>
      </c>
      <c r="N105" s="206">
        <f t="shared" si="21"/>
        <v>19.475107169002122</v>
      </c>
      <c r="O105" s="207">
        <f t="shared" si="25"/>
        <v>0.33990474227783879</v>
      </c>
      <c r="P105" s="138">
        <f t="shared" si="26"/>
        <v>340.51088679230321</v>
      </c>
      <c r="Q105" s="138">
        <f t="shared" si="27"/>
        <v>267.63227269897828</v>
      </c>
      <c r="R105" s="138">
        <f t="shared" si="32"/>
        <v>365.99909050786675</v>
      </c>
      <c r="S105" s="139">
        <f t="shared" si="33"/>
        <v>332.82584941196689</v>
      </c>
      <c r="T105" s="140">
        <f t="shared" si="28"/>
        <v>19.489113207696789</v>
      </c>
      <c r="U105" s="141">
        <f t="shared" si="29"/>
        <v>92.367727301021716</v>
      </c>
      <c r="V105" s="142">
        <f t="shared" si="30"/>
        <v>-5.9990905078667538</v>
      </c>
      <c r="W105" s="142">
        <f t="shared" si="31"/>
        <v>27.174150588033115</v>
      </c>
      <c r="X105" s="142"/>
      <c r="Y105" s="198"/>
    </row>
    <row r="106" spans="13:25" hidden="1">
      <c r="M106" s="205">
        <f t="shared" si="24"/>
        <v>19.091815640134534</v>
      </c>
      <c r="N106" s="206">
        <f t="shared" si="21"/>
        <v>19.091815640134534</v>
      </c>
      <c r="O106" s="207">
        <f t="shared" si="25"/>
        <v>0.3332150431040965</v>
      </c>
      <c r="P106" s="138">
        <f t="shared" si="26"/>
        <v>340.43002394979641</v>
      </c>
      <c r="Q106" s="138">
        <f t="shared" si="27"/>
        <v>267.71313554148509</v>
      </c>
      <c r="R106" s="138">
        <f t="shared" si="32"/>
        <v>365.9024887738301</v>
      </c>
      <c r="S106" s="139">
        <f t="shared" si="33"/>
        <v>332.92245114600348</v>
      </c>
      <c r="T106" s="140">
        <f t="shared" si="28"/>
        <v>19.569976050203593</v>
      </c>
      <c r="U106" s="141">
        <f t="shared" si="29"/>
        <v>92.286864458514913</v>
      </c>
      <c r="V106" s="142">
        <f t="shared" si="30"/>
        <v>-5.9024887738301004</v>
      </c>
      <c r="W106" s="142">
        <f t="shared" si="31"/>
        <v>27.077548853996518</v>
      </c>
      <c r="X106" s="142"/>
      <c r="Y106" s="198"/>
    </row>
    <row r="107" spans="13:25" hidden="1">
      <c r="M107" s="205">
        <f t="shared" si="24"/>
        <v>18.708524111266946</v>
      </c>
      <c r="N107" s="206">
        <f t="shared" si="21"/>
        <v>18.708524111266946</v>
      </c>
      <c r="O107" s="207">
        <f t="shared" si="25"/>
        <v>0.32652534393035421</v>
      </c>
      <c r="P107" s="138">
        <f t="shared" si="26"/>
        <v>340.34528966881516</v>
      </c>
      <c r="Q107" s="138">
        <f t="shared" si="27"/>
        <v>267.7978698224664</v>
      </c>
      <c r="R107" s="138">
        <f t="shared" si="32"/>
        <v>365.79581202160313</v>
      </c>
      <c r="S107" s="139">
        <f t="shared" si="33"/>
        <v>333.02912789823051</v>
      </c>
      <c r="T107" s="140">
        <f t="shared" si="28"/>
        <v>19.654710331184845</v>
      </c>
      <c r="U107" s="141">
        <f t="shared" si="29"/>
        <v>92.202130177533604</v>
      </c>
      <c r="V107" s="142">
        <f t="shared" si="30"/>
        <v>-5.7958120216031261</v>
      </c>
      <c r="W107" s="142">
        <f t="shared" si="31"/>
        <v>26.970872101769487</v>
      </c>
      <c r="X107" s="142"/>
      <c r="Y107" s="198"/>
    </row>
    <row r="108" spans="13:25" hidden="1">
      <c r="M108" s="205">
        <f t="shared" si="24"/>
        <v>18.325232582399359</v>
      </c>
      <c r="N108" s="206">
        <f t="shared" si="21"/>
        <v>18.325232582399359</v>
      </c>
      <c r="O108" s="207">
        <f t="shared" si="25"/>
        <v>0.31983564475661191</v>
      </c>
      <c r="P108" s="138">
        <f t="shared" si="26"/>
        <v>340.25667824160297</v>
      </c>
      <c r="Q108" s="138">
        <f t="shared" si="27"/>
        <v>267.88648124967858</v>
      </c>
      <c r="R108" s="138">
        <f t="shared" si="32"/>
        <v>365.67892324309196</v>
      </c>
      <c r="S108" s="139">
        <f t="shared" si="33"/>
        <v>333.14601667674162</v>
      </c>
      <c r="T108" s="140">
        <f t="shared" si="28"/>
        <v>19.74332175839703</v>
      </c>
      <c r="U108" s="141">
        <f t="shared" si="29"/>
        <v>92.113518750321418</v>
      </c>
      <c r="V108" s="142">
        <f t="shared" si="30"/>
        <v>-5.6789232430919583</v>
      </c>
      <c r="W108" s="142">
        <f t="shared" si="31"/>
        <v>26.853983323258376</v>
      </c>
      <c r="X108" s="142"/>
      <c r="Y108" s="198"/>
    </row>
    <row r="109" spans="13:25" hidden="1">
      <c r="M109" s="205">
        <f t="shared" si="24"/>
        <v>17.941941053531771</v>
      </c>
      <c r="N109" s="206">
        <f t="shared" si="21"/>
        <v>17.941941053531771</v>
      </c>
      <c r="O109" s="207">
        <f t="shared" si="25"/>
        <v>0.31314594558286957</v>
      </c>
      <c r="P109" s="138">
        <f t="shared" si="26"/>
        <v>340.16418177582671</v>
      </c>
      <c r="Q109" s="138">
        <f t="shared" si="27"/>
        <v>267.97897771545479</v>
      </c>
      <c r="R109" s="138">
        <f t="shared" si="32"/>
        <v>365.5516599850954</v>
      </c>
      <c r="S109" s="139">
        <f t="shared" si="33"/>
        <v>333.27327993473818</v>
      </c>
      <c r="T109" s="140">
        <f t="shared" si="28"/>
        <v>19.835818224173295</v>
      </c>
      <c r="U109" s="141">
        <f t="shared" si="29"/>
        <v>92.021022284545211</v>
      </c>
      <c r="V109" s="142">
        <f t="shared" si="30"/>
        <v>-5.551659985095398</v>
      </c>
      <c r="W109" s="142">
        <f t="shared" si="31"/>
        <v>26.726720065261816</v>
      </c>
      <c r="X109" s="142"/>
      <c r="Y109" s="198"/>
    </row>
    <row r="110" spans="13:25" hidden="1">
      <c r="M110" s="205">
        <f t="shared" si="24"/>
        <v>17.558649524664183</v>
      </c>
      <c r="N110" s="206">
        <f t="shared" si="21"/>
        <v>17.558649524664183</v>
      </c>
      <c r="O110" s="207">
        <f t="shared" si="25"/>
        <v>0.30645624640912728</v>
      </c>
      <c r="P110" s="138">
        <f t="shared" si="26"/>
        <v>340.06779017373754</v>
      </c>
      <c r="Q110" s="138">
        <f t="shared" si="27"/>
        <v>268.07536931754396</v>
      </c>
      <c r="R110" s="138">
        <f t="shared" si="32"/>
        <v>365.41383241215738</v>
      </c>
      <c r="S110" s="139">
        <f t="shared" si="33"/>
        <v>333.41110750767626</v>
      </c>
      <c r="T110" s="140">
        <f t="shared" si="28"/>
        <v>19.932209826262465</v>
      </c>
      <c r="U110" s="141">
        <f t="shared" si="29"/>
        <v>91.924630682456041</v>
      </c>
      <c r="V110" s="142">
        <f t="shared" si="30"/>
        <v>-5.413832412157376</v>
      </c>
      <c r="W110" s="142">
        <f t="shared" si="31"/>
        <v>26.588892492323737</v>
      </c>
      <c r="X110" s="142"/>
      <c r="Y110" s="198"/>
    </row>
    <row r="111" spans="13:25" hidden="1">
      <c r="M111" s="205">
        <f t="shared" si="24"/>
        <v>17.175357995796595</v>
      </c>
      <c r="N111" s="206">
        <f t="shared" si="21"/>
        <v>17.175357995796595</v>
      </c>
      <c r="O111" s="207">
        <f t="shared" si="25"/>
        <v>0.29976654723538498</v>
      </c>
      <c r="P111" s="138">
        <f t="shared" si="26"/>
        <v>339.96749110684624</v>
      </c>
      <c r="Q111" s="138">
        <f t="shared" si="27"/>
        <v>268.17566838443531</v>
      </c>
      <c r="R111" s="138">
        <f t="shared" si="32"/>
        <v>365.26522098956883</v>
      </c>
      <c r="S111" s="139">
        <f t="shared" si="33"/>
        <v>333.55971893026481</v>
      </c>
      <c r="T111" s="140">
        <f t="shared" si="28"/>
        <v>20.032508893153761</v>
      </c>
      <c r="U111" s="141">
        <f t="shared" si="29"/>
        <v>91.824331615564688</v>
      </c>
      <c r="V111" s="142">
        <f t="shared" si="30"/>
        <v>-5.2652209895688316</v>
      </c>
      <c r="W111" s="142">
        <f t="shared" si="31"/>
        <v>26.440281069735192</v>
      </c>
      <c r="X111" s="142"/>
      <c r="Y111" s="198"/>
    </row>
    <row r="112" spans="13:25" hidden="1">
      <c r="M112" s="205">
        <f t="shared" si="24"/>
        <v>16.792066466929008</v>
      </c>
      <c r="N112" s="206">
        <f t="shared" si="21"/>
        <v>16.792066466929008</v>
      </c>
      <c r="O112" s="207">
        <f t="shared" si="25"/>
        <v>0.29307684806164269</v>
      </c>
      <c r="P112" s="138">
        <f t="shared" si="26"/>
        <v>339.86326998596797</v>
      </c>
      <c r="Q112" s="138">
        <f t="shared" si="27"/>
        <v>268.27988950531358</v>
      </c>
      <c r="R112" s="138">
        <f t="shared" si="32"/>
        <v>365.10557372027148</v>
      </c>
      <c r="S112" s="139">
        <f t="shared" si="33"/>
        <v>333.71936619956216</v>
      </c>
      <c r="T112" s="140">
        <f t="shared" si="28"/>
        <v>20.136730014032025</v>
      </c>
      <c r="U112" s="141">
        <f t="shared" si="29"/>
        <v>91.720110494686423</v>
      </c>
      <c r="V112" s="142">
        <f t="shared" si="30"/>
        <v>-5.1055737202714795</v>
      </c>
      <c r="W112" s="142">
        <f t="shared" si="31"/>
        <v>26.28063380043784</v>
      </c>
      <c r="X112" s="142"/>
      <c r="Y112" s="198"/>
    </row>
    <row r="113" spans="13:25" hidden="1">
      <c r="M113" s="205">
        <f t="shared" ref="M113:M176" si="34">IF(N113&gt;maxn,maxn,IF(N113&lt;mins,mins,N113))</f>
        <v>16.40877493806142</v>
      </c>
      <c r="N113" s="206">
        <f t="shared" si="21"/>
        <v>16.40877493806142</v>
      </c>
      <c r="O113" s="207">
        <f t="shared" ref="O113:O176" si="35">RADIANS(M113)</f>
        <v>0.2863871488879004</v>
      </c>
      <c r="P113" s="138">
        <f t="shared" ref="P113:P176" si="36">IFERROR(DEGREES(grt+ACOS((SIN(h)-SIN(d)*SIN(O113))/COS(d)/COS(O113))),#N/A)</f>
        <v>339.75510992646878</v>
      </c>
      <c r="Q113" s="138">
        <f t="shared" ref="Q113:Q176" si="37">IFERROR(DEGREES(grt-ACOS((SIN(h)-SIN(d)*SIN(O113))/COS(d)/COS(O113))),#N/A)</f>
        <v>268.38804956481277</v>
      </c>
      <c r="R113" s="138">
        <f t="shared" si="32"/>
        <v>364.93460285244339</v>
      </c>
      <c r="S113" s="139">
        <f t="shared" si="33"/>
        <v>333.89033706739025</v>
      </c>
      <c r="T113" s="140">
        <f t="shared" ref="T113:T176" si="38">IF(P113&lt;0,ABS(P113),IF(P113&gt;360,-(P113-360),IF(AND(P113&gt;180,P113&lt;360),ABS(360-P113),-P113)))</f>
        <v>20.244890073531224</v>
      </c>
      <c r="U113" s="141">
        <f t="shared" ref="U113:U176" si="39">IF(Q113&lt;0,ABS(Q113),IF(Q113&gt;360,Q113-(Q113-360),IF(AND(Q113&gt;180,Q113&lt;360),ABS(360-Q113),-Q113)))</f>
        <v>91.611950435187225</v>
      </c>
      <c r="V113" s="142">
        <f t="shared" ref="V113:V176" si="40">IF(R113&lt;0,ABS(R113),IF(R113&gt;360,-(R113-360),IF(AND(R113&gt;180,R113&lt;360),ABS(360-R113),-R113)))</f>
        <v>-4.9346028524433905</v>
      </c>
      <c r="W113" s="142">
        <f t="shared" ref="W113:W176" si="41">IF(S113&lt;0,ABS(S113),IF(S113&gt;360,-(S113-360),IF(AND(S113&gt;180,S113&lt;360),ABS(360-S113),-S113)))</f>
        <v>26.109662932609751</v>
      </c>
      <c r="X113" s="142"/>
      <c r="Y113" s="198"/>
    </row>
    <row r="114" spans="13:25" hidden="1">
      <c r="M114" s="205">
        <f t="shared" si="34"/>
        <v>16.025483409193832</v>
      </c>
      <c r="N114" s="206">
        <f t="shared" si="21"/>
        <v>16.025483409193832</v>
      </c>
      <c r="O114" s="207">
        <f t="shared" si="35"/>
        <v>0.27969744971415811</v>
      </c>
      <c r="P114" s="138">
        <f t="shared" si="36"/>
        <v>339.64299170852013</v>
      </c>
      <c r="Q114" s="138">
        <f t="shared" si="37"/>
        <v>268.50016778276137</v>
      </c>
      <c r="R114" s="138">
        <f t="shared" si="32"/>
        <v>364.75198095279774</v>
      </c>
      <c r="S114" s="139">
        <f t="shared" si="33"/>
        <v>334.07295896703585</v>
      </c>
      <c r="T114" s="140">
        <f t="shared" si="38"/>
        <v>20.357008291479872</v>
      </c>
      <c r="U114" s="141">
        <f t="shared" si="39"/>
        <v>91.499832217238634</v>
      </c>
      <c r="V114" s="142">
        <f t="shared" si="40"/>
        <v>-4.7519809527977372</v>
      </c>
      <c r="W114" s="142">
        <f t="shared" si="41"/>
        <v>25.927041032964155</v>
      </c>
      <c r="X114" s="142"/>
      <c r="Y114" s="198"/>
    </row>
    <row r="115" spans="13:25" hidden="1">
      <c r="M115" s="205">
        <f t="shared" si="34"/>
        <v>15.642191880326244</v>
      </c>
      <c r="N115" s="206">
        <f t="shared" si="21"/>
        <v>15.642191880326244</v>
      </c>
      <c r="O115" s="207">
        <f t="shared" si="35"/>
        <v>0.27300775054041582</v>
      </c>
      <c r="P115" s="138">
        <f t="shared" si="36"/>
        <v>339.52689373214338</v>
      </c>
      <c r="Q115" s="138">
        <f t="shared" si="37"/>
        <v>268.61626575913817</v>
      </c>
      <c r="R115" s="138">
        <f t="shared" si="32"/>
        <v>364.55733621243007</v>
      </c>
      <c r="S115" s="139">
        <f t="shared" si="33"/>
        <v>334.26760370740351</v>
      </c>
      <c r="T115" s="140">
        <f t="shared" si="38"/>
        <v>20.473106267856622</v>
      </c>
      <c r="U115" s="141">
        <f t="shared" si="39"/>
        <v>91.383734240861827</v>
      </c>
      <c r="V115" s="142">
        <f t="shared" si="40"/>
        <v>-4.5573362124300729</v>
      </c>
      <c r="W115" s="142">
        <f t="shared" si="41"/>
        <v>25.732396292596491</v>
      </c>
      <c r="X115" s="142"/>
      <c r="Y115" s="198"/>
    </row>
    <row r="116" spans="13:25" hidden="1">
      <c r="M116" s="205">
        <f t="shared" si="34"/>
        <v>15.258900351458657</v>
      </c>
      <c r="N116" s="206">
        <f t="shared" si="21"/>
        <v>15.258900351458657</v>
      </c>
      <c r="O116" s="207">
        <f t="shared" si="35"/>
        <v>0.26631805136667347</v>
      </c>
      <c r="P116" s="138">
        <f t="shared" si="36"/>
        <v>339.406791966794</v>
      </c>
      <c r="Q116" s="138">
        <f t="shared" si="37"/>
        <v>268.73636752448755</v>
      </c>
      <c r="R116" s="138">
        <f t="shared" si="32"/>
        <v>364.35024681510657</v>
      </c>
      <c r="S116" s="139">
        <f t="shared" si="33"/>
        <v>334.47469310472701</v>
      </c>
      <c r="T116" s="140">
        <f t="shared" si="38"/>
        <v>20.593208033205997</v>
      </c>
      <c r="U116" s="141">
        <f t="shared" si="39"/>
        <v>91.263632475512452</v>
      </c>
      <c r="V116" s="142">
        <f t="shared" si="40"/>
        <v>-4.3502468151065727</v>
      </c>
      <c r="W116" s="142">
        <f t="shared" si="41"/>
        <v>25.52530689527299</v>
      </c>
      <c r="X116" s="142"/>
      <c r="Y116" s="198"/>
    </row>
    <row r="117" spans="13:25" hidden="1">
      <c r="M117" s="205">
        <f t="shared" si="34"/>
        <v>14.875608822591069</v>
      </c>
      <c r="N117" s="206">
        <f t="shared" si="21"/>
        <v>14.875608822591069</v>
      </c>
      <c r="O117" s="207">
        <f t="shared" si="35"/>
        <v>0.25962835219293118</v>
      </c>
      <c r="P117" s="138">
        <f t="shared" si="36"/>
        <v>339.28265989520696</v>
      </c>
      <c r="Q117" s="138">
        <f t="shared" si="37"/>
        <v>268.86049959607453</v>
      </c>
      <c r="R117" s="138">
        <f t="shared" si="32"/>
        <v>364.130234148912</v>
      </c>
      <c r="S117" s="139">
        <f t="shared" si="33"/>
        <v>334.69470577092164</v>
      </c>
      <c r="T117" s="140">
        <f t="shared" si="38"/>
        <v>20.717340104793038</v>
      </c>
      <c r="U117" s="141">
        <f t="shared" si="39"/>
        <v>91.139500403925467</v>
      </c>
      <c r="V117" s="142">
        <f t="shared" si="40"/>
        <v>-4.1302341489119954</v>
      </c>
      <c r="W117" s="142">
        <f t="shared" si="41"/>
        <v>25.305294229078356</v>
      </c>
      <c r="X117" s="142"/>
      <c r="Y117" s="198"/>
    </row>
    <row r="118" spans="13:25" hidden="1">
      <c r="M118" s="205">
        <f t="shared" si="34"/>
        <v>14.492317293723481</v>
      </c>
      <c r="N118" s="206">
        <f t="shared" si="21"/>
        <v>14.492317293723481</v>
      </c>
      <c r="O118" s="207">
        <f t="shared" si="35"/>
        <v>0.25293865301918889</v>
      </c>
      <c r="P118" s="138">
        <f t="shared" si="36"/>
        <v>339.15446845119021</v>
      </c>
      <c r="Q118" s="138">
        <f t="shared" si="37"/>
        <v>268.98869104009134</v>
      </c>
      <c r="R118" s="138">
        <f t="shared" si="32"/>
        <v>363.89675457647638</v>
      </c>
      <c r="S118" s="139">
        <f t="shared" si="33"/>
        <v>334.9281853433572</v>
      </c>
      <c r="T118" s="140">
        <f t="shared" si="38"/>
        <v>20.845531548809788</v>
      </c>
      <c r="U118" s="141">
        <f t="shared" si="39"/>
        <v>91.011308959908661</v>
      </c>
      <c r="V118" s="142">
        <f t="shared" si="40"/>
        <v>-3.8967545764763827</v>
      </c>
      <c r="W118" s="142">
        <f t="shared" si="41"/>
        <v>25.0718146566428</v>
      </c>
      <c r="X118" s="142"/>
      <c r="Y118" s="198"/>
    </row>
    <row r="119" spans="13:25" hidden="1">
      <c r="M119" s="205">
        <f t="shared" si="34"/>
        <v>14.109025764855893</v>
      </c>
      <c r="N119" s="206">
        <f t="shared" si="21"/>
        <v>14.109025764855893</v>
      </c>
      <c r="O119" s="207">
        <f t="shared" si="35"/>
        <v>0.24624895384544659</v>
      </c>
      <c r="P119" s="138">
        <f t="shared" si="36"/>
        <v>339.02218595101311</v>
      </c>
      <c r="Q119" s="138">
        <f t="shared" si="37"/>
        <v>269.12097354026844</v>
      </c>
      <c r="R119" s="138">
        <f t="shared" si="32"/>
        <v>363.64918938972852</v>
      </c>
      <c r="S119" s="139">
        <f t="shared" si="33"/>
        <v>335.17575053010506</v>
      </c>
      <c r="T119" s="140">
        <f t="shared" si="38"/>
        <v>20.977814048986886</v>
      </c>
      <c r="U119" s="141">
        <f t="shared" si="39"/>
        <v>90.879026459731563</v>
      </c>
      <c r="V119" s="142">
        <f t="shared" si="40"/>
        <v>-3.6491893897285195</v>
      </c>
      <c r="W119" s="142">
        <f t="shared" si="41"/>
        <v>24.824249469894937</v>
      </c>
      <c r="X119" s="142"/>
      <c r="Y119" s="198"/>
    </row>
    <row r="120" spans="13:25" hidden="1">
      <c r="M120" s="205">
        <f t="shared" si="34"/>
        <v>13.725734235988305</v>
      </c>
      <c r="N120" s="206">
        <f t="shared" si="21"/>
        <v>13.725734235988305</v>
      </c>
      <c r="O120" s="207">
        <f t="shared" si="35"/>
        <v>0.2395592546717043</v>
      </c>
      <c r="P120" s="138">
        <f t="shared" si="36"/>
        <v>338.88577801800187</v>
      </c>
      <c r="Q120" s="138">
        <f t="shared" si="37"/>
        <v>269.25738147327968</v>
      </c>
      <c r="R120" s="138">
        <f t="shared" si="32"/>
        <v>363.38683245216032</v>
      </c>
      <c r="S120" s="139">
        <f t="shared" si="33"/>
        <v>335.43810746767332</v>
      </c>
      <c r="T120" s="140">
        <f t="shared" si="38"/>
        <v>21.114221981998128</v>
      </c>
      <c r="U120" s="141">
        <f t="shared" si="39"/>
        <v>90.742618526720321</v>
      </c>
      <c r="V120" s="142">
        <f t="shared" si="40"/>
        <v>-3.3868324521603199</v>
      </c>
      <c r="W120" s="142">
        <f t="shared" si="41"/>
        <v>24.561892532326681</v>
      </c>
      <c r="X120" s="142"/>
      <c r="Y120" s="198"/>
    </row>
    <row r="121" spans="13:25" hidden="1">
      <c r="M121" s="205">
        <f t="shared" si="34"/>
        <v>13.342442707120718</v>
      </c>
      <c r="N121" s="206">
        <f t="shared" si="21"/>
        <v>13.342442707120718</v>
      </c>
      <c r="O121" s="207">
        <f t="shared" si="35"/>
        <v>0.23286955549796198</v>
      </c>
      <c r="P121" s="138">
        <f t="shared" si="36"/>
        <v>338.74520749990302</v>
      </c>
      <c r="Q121" s="138">
        <f t="shared" si="37"/>
        <v>269.39795199137853</v>
      </c>
      <c r="R121" s="138">
        <f t="shared" si="32"/>
        <v>363.10887485967191</v>
      </c>
      <c r="S121" s="139">
        <f t="shared" si="33"/>
        <v>335.71606506016172</v>
      </c>
      <c r="T121" s="140">
        <f t="shared" si="38"/>
        <v>21.254792500096983</v>
      </c>
      <c r="U121" s="141">
        <f t="shared" si="39"/>
        <v>90.602048008621466</v>
      </c>
      <c r="V121" s="142">
        <f t="shared" si="40"/>
        <v>-3.1088748596719142</v>
      </c>
      <c r="W121" s="142">
        <f t="shared" si="41"/>
        <v>24.283934939838275</v>
      </c>
      <c r="X121" s="142"/>
      <c r="Y121" s="198"/>
    </row>
    <row r="122" spans="13:25" hidden="1">
      <c r="M122" s="205">
        <f t="shared" si="34"/>
        <v>12.95915117825313</v>
      </c>
      <c r="N122" s="206">
        <f t="shared" si="21"/>
        <v>12.95915117825313</v>
      </c>
      <c r="O122" s="207">
        <f t="shared" si="35"/>
        <v>0.22617985632421969</v>
      </c>
      <c r="P122" s="138">
        <f t="shared" si="36"/>
        <v>338.60043437853085</v>
      </c>
      <c r="Q122" s="138">
        <f t="shared" si="37"/>
        <v>269.5427251127507</v>
      </c>
      <c r="R122" s="138">
        <f t="shared" si="32"/>
        <v>362.81438570683156</v>
      </c>
      <c r="S122" s="139">
        <f t="shared" si="33"/>
        <v>336.01055421300208</v>
      </c>
      <c r="T122" s="140">
        <f t="shared" si="38"/>
        <v>21.399565621469151</v>
      </c>
      <c r="U122" s="141">
        <f t="shared" si="39"/>
        <v>90.457274887249298</v>
      </c>
      <c r="V122" s="142">
        <f t="shared" si="40"/>
        <v>-2.8143857068315583</v>
      </c>
      <c r="W122" s="142">
        <f t="shared" si="41"/>
        <v>23.989445786997919</v>
      </c>
      <c r="X122" s="142"/>
      <c r="Y122" s="198"/>
    </row>
    <row r="123" spans="13:25" hidden="1">
      <c r="M123" s="205">
        <f t="shared" si="34"/>
        <v>12.575859649385542</v>
      </c>
      <c r="N123" s="206">
        <f t="shared" si="21"/>
        <v>12.575859649385542</v>
      </c>
      <c r="O123" s="207">
        <f t="shared" si="35"/>
        <v>0.2194901571504774</v>
      </c>
      <c r="P123" s="138">
        <f t="shared" si="36"/>
        <v>338.45141567115934</v>
      </c>
      <c r="Q123" s="138">
        <f t="shared" si="37"/>
        <v>269.69174382012221</v>
      </c>
      <c r="R123" s="138">
        <f t="shared" si="32"/>
        <v>362.5022876921559</v>
      </c>
      <c r="S123" s="139">
        <f t="shared" si="33"/>
        <v>336.32265222767768</v>
      </c>
      <c r="T123" s="140">
        <f t="shared" si="38"/>
        <v>21.548584328840661</v>
      </c>
      <c r="U123" s="141">
        <f t="shared" si="39"/>
        <v>90.308256179877787</v>
      </c>
      <c r="V123" s="142">
        <f t="shared" si="40"/>
        <v>-2.5022876921559032</v>
      </c>
      <c r="W123" s="142">
        <f t="shared" si="41"/>
        <v>23.677347772322321</v>
      </c>
      <c r="X123" s="142"/>
      <c r="Y123" s="198"/>
    </row>
    <row r="124" spans="13:25" hidden="1">
      <c r="M124" s="205">
        <f t="shared" si="34"/>
        <v>12.192568120517954</v>
      </c>
      <c r="N124" s="206">
        <f t="shared" si="21"/>
        <v>12.192568120517954</v>
      </c>
      <c r="O124" s="207">
        <f t="shared" si="35"/>
        <v>0.21280045797673511</v>
      </c>
      <c r="P124" s="138">
        <f t="shared" si="36"/>
        <v>338.29810532305669</v>
      </c>
      <c r="Q124" s="138">
        <f t="shared" si="37"/>
        <v>269.84505416822481</v>
      </c>
      <c r="R124" s="138">
        <f t="shared" si="32"/>
        <v>362.17132577510068</v>
      </c>
      <c r="S124" s="139">
        <f t="shared" si="33"/>
        <v>336.65361414473296</v>
      </c>
      <c r="T124" s="140">
        <f t="shared" si="38"/>
        <v>21.701894676943311</v>
      </c>
      <c r="U124" s="141">
        <f t="shared" si="39"/>
        <v>90.154945831775194</v>
      </c>
      <c r="V124" s="142">
        <f t="shared" si="40"/>
        <v>-2.1713257751006836</v>
      </c>
      <c r="W124" s="142">
        <f t="shared" si="41"/>
        <v>23.346385855267044</v>
      </c>
      <c r="X124" s="142"/>
      <c r="Y124" s="198"/>
    </row>
    <row r="125" spans="13:25" hidden="1">
      <c r="M125" s="205">
        <f t="shared" si="34"/>
        <v>11.809276591650367</v>
      </c>
      <c r="N125" s="206">
        <f t="shared" si="21"/>
        <v>11.809276591650367</v>
      </c>
      <c r="O125" s="207">
        <f t="shared" si="35"/>
        <v>0.20611075880299279</v>
      </c>
      <c r="P125" s="138">
        <f t="shared" si="36"/>
        <v>338.14045409049686</v>
      </c>
      <c r="Q125" s="138">
        <f t="shared" si="37"/>
        <v>270.00270540078469</v>
      </c>
      <c r="R125" s="138">
        <f t="shared" si="32"/>
        <v>361.82002631228931</v>
      </c>
      <c r="S125" s="139">
        <f t="shared" si="33"/>
        <v>337.00491360754432</v>
      </c>
      <c r="T125" s="140">
        <f t="shared" si="38"/>
        <v>21.85954590950314</v>
      </c>
      <c r="U125" s="141">
        <f t="shared" si="39"/>
        <v>89.997294599215309</v>
      </c>
      <c r="V125" s="142">
        <f t="shared" si="40"/>
        <v>-1.8200263122893148</v>
      </c>
      <c r="W125" s="142">
        <f t="shared" si="41"/>
        <v>22.995086392455676</v>
      </c>
      <c r="X125" s="142"/>
      <c r="Y125" s="198"/>
    </row>
    <row r="126" spans="13:25" hidden="1">
      <c r="M126" s="205">
        <f t="shared" si="34"/>
        <v>11.425985062782779</v>
      </c>
      <c r="N126" s="206">
        <f t="shared" si="21"/>
        <v>11.425985062782779</v>
      </c>
      <c r="O126" s="207">
        <f t="shared" si="35"/>
        <v>0.1994210596292505</v>
      </c>
      <c r="P126" s="138">
        <f t="shared" si="36"/>
        <v>337.97840941350262</v>
      </c>
      <c r="Q126" s="138">
        <f t="shared" si="37"/>
        <v>270.16475007777893</v>
      </c>
      <c r="R126" s="138">
        <f t="shared" si="32"/>
        <v>361.44664288787953</v>
      </c>
      <c r="S126" s="139">
        <f t="shared" si="33"/>
        <v>337.37829703195411</v>
      </c>
      <c r="T126" s="140">
        <f t="shared" si="38"/>
        <v>22.021590586497382</v>
      </c>
      <c r="U126" s="141">
        <f t="shared" si="39"/>
        <v>89.835249922221067</v>
      </c>
      <c r="V126" s="142">
        <f t="shared" si="40"/>
        <v>-1.4466428878795341</v>
      </c>
      <c r="W126" s="142">
        <f t="shared" si="41"/>
        <v>22.621702968045895</v>
      </c>
      <c r="X126" s="142"/>
      <c r="Y126" s="198"/>
    </row>
    <row r="127" spans="13:25" hidden="1">
      <c r="M127" s="205">
        <f t="shared" si="34"/>
        <v>11.042693533915191</v>
      </c>
      <c r="N127" s="206">
        <f t="shared" si="21"/>
        <v>11.042693533915191</v>
      </c>
      <c r="O127" s="207">
        <f t="shared" si="35"/>
        <v>0.1927313604555082</v>
      </c>
      <c r="P127" s="138">
        <f t="shared" si="36"/>
        <v>337.81191527749638</v>
      </c>
      <c r="Q127" s="138">
        <f t="shared" si="37"/>
        <v>270.33124421378517</v>
      </c>
      <c r="R127" s="138">
        <f t="shared" si="32"/>
        <v>361.04908312789979</v>
      </c>
      <c r="S127" s="139">
        <f t="shared" si="33"/>
        <v>337.77585679193385</v>
      </c>
      <c r="T127" s="140">
        <f t="shared" si="38"/>
        <v>22.188084722503618</v>
      </c>
      <c r="U127" s="141">
        <f t="shared" si="39"/>
        <v>89.668755786214831</v>
      </c>
      <c r="V127" s="142">
        <f t="shared" si="40"/>
        <v>-1.0490831278997916</v>
      </c>
      <c r="W127" s="142">
        <f t="shared" si="41"/>
        <v>22.224143208066153</v>
      </c>
      <c r="X127" s="142"/>
      <c r="Y127" s="198"/>
    </row>
    <row r="128" spans="13:25" hidden="1">
      <c r="M128" s="205">
        <f t="shared" si="34"/>
        <v>10.659402005047603</v>
      </c>
      <c r="N128" s="206">
        <f t="shared" si="21"/>
        <v>10.659402005047603</v>
      </c>
      <c r="O128" s="207">
        <f t="shared" si="35"/>
        <v>0.18604166128176591</v>
      </c>
      <c r="P128" s="138">
        <f t="shared" si="36"/>
        <v>337.6409120629358</v>
      </c>
      <c r="Q128" s="138">
        <f t="shared" si="37"/>
        <v>270.50224742834575</v>
      </c>
      <c r="R128" s="138">
        <f t="shared" si="32"/>
        <v>360.62480763518386</v>
      </c>
      <c r="S128" s="139">
        <f t="shared" si="33"/>
        <v>338.20013228464978</v>
      </c>
      <c r="T128" s="140">
        <f t="shared" si="38"/>
        <v>22.359087937064203</v>
      </c>
      <c r="U128" s="141">
        <f t="shared" si="39"/>
        <v>89.497752571654246</v>
      </c>
      <c r="V128" s="142">
        <f t="shared" si="40"/>
        <v>-0.62480763518385629</v>
      </c>
      <c r="W128" s="142">
        <f t="shared" si="41"/>
        <v>21.799867715350217</v>
      </c>
      <c r="X128" s="142"/>
      <c r="Y128" s="198"/>
    </row>
    <row r="129" spans="13:25" hidden="1">
      <c r="M129" s="205">
        <f t="shared" si="34"/>
        <v>10.276110476180015</v>
      </c>
      <c r="N129" s="206">
        <f t="shared" si="21"/>
        <v>10.276110476180015</v>
      </c>
      <c r="O129" s="207">
        <f t="shared" si="35"/>
        <v>0.17935196210802359</v>
      </c>
      <c r="P129" s="138">
        <f t="shared" si="36"/>
        <v>337.46533638190846</v>
      </c>
      <c r="Q129" s="138">
        <f t="shared" si="37"/>
        <v>270.67782310937309</v>
      </c>
      <c r="R129" s="138">
        <f t="shared" si="32"/>
        <v>360.17068682760004</v>
      </c>
      <c r="S129" s="139">
        <f t="shared" si="33"/>
        <v>338.6542530922336</v>
      </c>
      <c r="T129" s="140">
        <f t="shared" si="38"/>
        <v>22.534663618091543</v>
      </c>
      <c r="U129" s="141">
        <f t="shared" si="39"/>
        <v>89.322176890626906</v>
      </c>
      <c r="V129" s="142">
        <f t="shared" si="40"/>
        <v>-0.17068682760003639</v>
      </c>
      <c r="W129" s="142">
        <f t="shared" si="41"/>
        <v>21.345746907766397</v>
      </c>
      <c r="X129" s="142"/>
      <c r="Y129" s="198"/>
    </row>
    <row r="130" spans="13:25" hidden="1">
      <c r="M130" s="205">
        <f t="shared" si="34"/>
        <v>9.8928189473124277</v>
      </c>
      <c r="N130" s="206">
        <f t="shared" si="21"/>
        <v>9.8928189473124277</v>
      </c>
      <c r="O130" s="207">
        <f t="shared" si="35"/>
        <v>0.1726622629342813</v>
      </c>
      <c r="P130" s="138">
        <f t="shared" si="36"/>
        <v>337.28512090054028</v>
      </c>
      <c r="Q130" s="138">
        <f t="shared" si="37"/>
        <v>270.85803859074122</v>
      </c>
      <c r="R130" s="138">
        <f t="shared" si="32"/>
        <v>359.68279198386125</v>
      </c>
      <c r="S130" s="139">
        <f t="shared" si="33"/>
        <v>339.14214793597233</v>
      </c>
      <c r="T130" s="140">
        <f t="shared" si="38"/>
        <v>22.714879099459722</v>
      </c>
      <c r="U130" s="141">
        <f t="shared" si="39"/>
        <v>89.141961409258784</v>
      </c>
      <c r="V130" s="142">
        <f t="shared" si="40"/>
        <v>0.31720801613874983</v>
      </c>
      <c r="W130" s="142">
        <f t="shared" si="41"/>
        <v>20.857852064027668</v>
      </c>
      <c r="X130" s="142"/>
      <c r="Y130" s="198"/>
    </row>
    <row r="131" spans="13:25" hidden="1">
      <c r="M131" s="205">
        <f t="shared" si="34"/>
        <v>9.50952741844484</v>
      </c>
      <c r="N131" s="206">
        <f t="shared" si="21"/>
        <v>9.50952741844484</v>
      </c>
      <c r="O131" s="207">
        <f t="shared" si="35"/>
        <v>0.16597256376053901</v>
      </c>
      <c r="P131" s="138">
        <f t="shared" si="36"/>
        <v>337.10019414593751</v>
      </c>
      <c r="Q131" s="138">
        <f t="shared" si="37"/>
        <v>271.04296534534404</v>
      </c>
      <c r="R131" s="138">
        <f t="shared" si="32"/>
        <v>359.15607917476723</v>
      </c>
      <c r="S131" s="139">
        <f t="shared" si="33"/>
        <v>339.66886074506635</v>
      </c>
      <c r="T131" s="140">
        <f t="shared" si="38"/>
        <v>22.899805854062492</v>
      </c>
      <c r="U131" s="141">
        <f t="shared" si="39"/>
        <v>88.957034654655956</v>
      </c>
      <c r="V131" s="142">
        <f t="shared" si="40"/>
        <v>0.84392082523277168</v>
      </c>
      <c r="W131" s="142">
        <f t="shared" si="41"/>
        <v>20.331139254933646</v>
      </c>
      <c r="X131" s="142"/>
      <c r="Y131" s="198"/>
    </row>
    <row r="132" spans="13:25" hidden="1">
      <c r="M132" s="205">
        <f t="shared" si="34"/>
        <v>9.1262358895772522</v>
      </c>
      <c r="N132" s="206">
        <f t="shared" si="21"/>
        <v>9.1262358895772522</v>
      </c>
      <c r="O132" s="207">
        <f t="shared" si="35"/>
        <v>0.15928286458679669</v>
      </c>
      <c r="P132" s="138">
        <f t="shared" si="36"/>
        <v>336.9104802962292</v>
      </c>
      <c r="Q132" s="138">
        <f t="shared" si="37"/>
        <v>271.23267919505236</v>
      </c>
      <c r="R132" s="138">
        <f t="shared" si="32"/>
        <v>358.58388999042967</v>
      </c>
      <c r="S132" s="139">
        <f t="shared" si="33"/>
        <v>340.24104992940391</v>
      </c>
      <c r="T132" s="140">
        <f t="shared" si="38"/>
        <v>23.089519703770804</v>
      </c>
      <c r="U132" s="141">
        <f t="shared" si="39"/>
        <v>88.767320804947644</v>
      </c>
      <c r="V132" s="142">
        <f t="shared" si="40"/>
        <v>1.4161100095703318</v>
      </c>
      <c r="W132" s="142">
        <f t="shared" si="41"/>
        <v>19.758950070596086</v>
      </c>
      <c r="X132" s="142"/>
      <c r="Y132" s="198"/>
    </row>
    <row r="133" spans="13:25" hidden="1">
      <c r="M133" s="205">
        <f t="shared" si="34"/>
        <v>8.7429443607096644</v>
      </c>
      <c r="N133" s="206">
        <f t="shared" si="21"/>
        <v>8.7429443607096644</v>
      </c>
      <c r="O133" s="207">
        <f t="shared" si="35"/>
        <v>0.1525931654130544</v>
      </c>
      <c r="P133" s="138">
        <f t="shared" si="36"/>
        <v>336.71589895210747</v>
      </c>
      <c r="Q133" s="138">
        <f t="shared" si="37"/>
        <v>271.42726053917409</v>
      </c>
      <c r="R133" s="138">
        <f t="shared" si="32"/>
        <v>357.95711928134858</v>
      </c>
      <c r="S133" s="139">
        <f t="shared" si="33"/>
        <v>340.86782063848506</v>
      </c>
      <c r="T133" s="140">
        <f t="shared" si="38"/>
        <v>23.284101047892534</v>
      </c>
      <c r="U133" s="141">
        <f t="shared" si="39"/>
        <v>88.572739460825915</v>
      </c>
      <c r="V133" s="142">
        <f t="shared" si="40"/>
        <v>2.0428807186514177</v>
      </c>
      <c r="W133" s="142">
        <f t="shared" si="41"/>
        <v>19.132179361514943</v>
      </c>
      <c r="X133" s="142"/>
      <c r="Y133" s="198"/>
    </row>
    <row r="134" spans="13:25" hidden="1">
      <c r="M134" s="205">
        <f t="shared" si="34"/>
        <v>8.3596528318420766</v>
      </c>
      <c r="N134" s="206">
        <f t="shared" si="21"/>
        <v>8.3596528318420766</v>
      </c>
      <c r="O134" s="207">
        <f t="shared" si="35"/>
        <v>0.14590346623931211</v>
      </c>
      <c r="P134" s="138">
        <f t="shared" si="36"/>
        <v>336.51636488806167</v>
      </c>
      <c r="Q134" s="138">
        <f t="shared" si="37"/>
        <v>271.62679460321988</v>
      </c>
      <c r="R134" s="138">
        <f t="shared" si="32"/>
        <v>357.26272918360826</v>
      </c>
      <c r="S134" s="139">
        <f t="shared" si="33"/>
        <v>341.56221073622532</v>
      </c>
      <c r="T134" s="140">
        <f t="shared" si="38"/>
        <v>23.483635111938327</v>
      </c>
      <c r="U134" s="141">
        <f t="shared" si="39"/>
        <v>88.373205396780122</v>
      </c>
      <c r="V134" s="142">
        <f t="shared" si="40"/>
        <v>2.7372708163917423</v>
      </c>
      <c r="W134" s="142">
        <f t="shared" si="41"/>
        <v>18.437789263774675</v>
      </c>
      <c r="X134" s="142"/>
      <c r="Y134" s="198"/>
    </row>
    <row r="135" spans="13:25" hidden="1">
      <c r="M135" s="205">
        <f t="shared" si="34"/>
        <v>7.976361302974488</v>
      </c>
      <c r="N135" s="206">
        <f t="shared" si="21"/>
        <v>7.976361302974488</v>
      </c>
      <c r="O135" s="207">
        <f t="shared" si="35"/>
        <v>0.13921376706556979</v>
      </c>
      <c r="P135" s="138">
        <f t="shared" si="36"/>
        <v>336.3117877812835</v>
      </c>
      <c r="Q135" s="138">
        <f t="shared" si="37"/>
        <v>271.83137170999805</v>
      </c>
      <c r="R135" s="138">
        <f t="shared" si="32"/>
        <v>356.48084283362977</v>
      </c>
      <c r="S135" s="139">
        <f t="shared" si="33"/>
        <v>342.34409708620382</v>
      </c>
      <c r="T135" s="140">
        <f t="shared" si="38"/>
        <v>23.688212218716501</v>
      </c>
      <c r="U135" s="141">
        <f t="shared" si="39"/>
        <v>88.168628290001948</v>
      </c>
      <c r="V135" s="142">
        <f t="shared" si="40"/>
        <v>3.5191571663702348</v>
      </c>
      <c r="W135" s="142">
        <f t="shared" si="41"/>
        <v>17.655902913796183</v>
      </c>
      <c r="X135" s="142"/>
      <c r="Y135" s="198"/>
    </row>
    <row r="136" spans="13:25" hidden="1">
      <c r="M136" s="205">
        <f t="shared" si="34"/>
        <v>7.5930697741068993</v>
      </c>
      <c r="N136" s="206">
        <f t="shared" ref="N136:N193" si="42">N135-step</f>
        <v>7.5930697741068993</v>
      </c>
      <c r="O136" s="207">
        <f t="shared" si="35"/>
        <v>0.13252406789182747</v>
      </c>
      <c r="P136" s="138">
        <f t="shared" si="36"/>
        <v>336.10207191596078</v>
      </c>
      <c r="Q136" s="138">
        <f t="shared" si="37"/>
        <v>272.04108757532072</v>
      </c>
      <c r="R136" s="138">
        <f t="shared" ref="R136:R167" si="43">IFERROR(DEGREES(grt_+ACOS((SIN(h_)-SIN(d_)*SIN(O136))/COS(d_)/COS(O136))),#N/A)</f>
        <v>355.57828627861693</v>
      </c>
      <c r="S136" s="139">
        <f t="shared" ref="S136:S167" si="44">IFERROR(DEGREES(grt_-ACOS((SIN(h_)-SIN(d_)*SIN(O136))/COS(d_)/COS(O136))),#N/A)</f>
        <v>343.24665364121665</v>
      </c>
      <c r="T136" s="140">
        <f t="shared" si="38"/>
        <v>23.897928084039222</v>
      </c>
      <c r="U136" s="141">
        <f t="shared" si="39"/>
        <v>87.958912424679284</v>
      </c>
      <c r="V136" s="142">
        <f t="shared" si="40"/>
        <v>4.4217137213830711</v>
      </c>
      <c r="W136" s="142">
        <f t="shared" si="41"/>
        <v>16.753346358783347</v>
      </c>
      <c r="X136" s="142"/>
      <c r="Y136" s="198"/>
    </row>
    <row r="137" spans="13:25" hidden="1">
      <c r="M137" s="205">
        <f t="shared" si="34"/>
        <v>7.2097782452393107</v>
      </c>
      <c r="N137" s="206">
        <f t="shared" si="42"/>
        <v>7.2097782452393107</v>
      </c>
      <c r="O137" s="207">
        <f t="shared" si="35"/>
        <v>0.12583436871808515</v>
      </c>
      <c r="P137" s="138">
        <f t="shared" si="36"/>
        <v>335.88711586038596</v>
      </c>
      <c r="Q137" s="138">
        <f t="shared" si="37"/>
        <v>272.25604363089553</v>
      </c>
      <c r="R137" s="138">
        <f t="shared" si="43"/>
        <v>354.491149701403</v>
      </c>
      <c r="S137" s="139">
        <f t="shared" si="44"/>
        <v>344.33379021843058</v>
      </c>
      <c r="T137" s="140">
        <f t="shared" si="38"/>
        <v>24.112884139614039</v>
      </c>
      <c r="U137" s="141">
        <f t="shared" si="39"/>
        <v>87.743956369104467</v>
      </c>
      <c r="V137" s="142">
        <f t="shared" si="40"/>
        <v>5.5088502985969967</v>
      </c>
      <c r="W137" s="142">
        <f t="shared" si="41"/>
        <v>15.666209781569421</v>
      </c>
      <c r="X137" s="142"/>
      <c r="Y137" s="198"/>
    </row>
    <row r="138" spans="13:25" hidden="1">
      <c r="M138" s="205">
        <f t="shared" si="34"/>
        <v>6.826486716371722</v>
      </c>
      <c r="N138" s="206">
        <f t="shared" si="42"/>
        <v>6.826486716371722</v>
      </c>
      <c r="O138" s="207">
        <f t="shared" si="35"/>
        <v>0.11914466954434284</v>
      </c>
      <c r="P138" s="138">
        <f t="shared" si="36"/>
        <v>335.6668121139661</v>
      </c>
      <c r="Q138" s="138">
        <f t="shared" si="37"/>
        <v>272.47634737731545</v>
      </c>
      <c r="R138" s="138">
        <f t="shared" si="43"/>
        <v>353.05790060193681</v>
      </c>
      <c r="S138" s="139">
        <f t="shared" si="44"/>
        <v>345.76703931789677</v>
      </c>
      <c r="T138" s="140">
        <f t="shared" si="38"/>
        <v>24.333187886033897</v>
      </c>
      <c r="U138" s="141">
        <f t="shared" si="39"/>
        <v>87.523652622684551</v>
      </c>
      <c r="V138" s="142">
        <f t="shared" si="40"/>
        <v>6.942099398063192</v>
      </c>
      <c r="W138" s="142">
        <f t="shared" si="41"/>
        <v>14.232960682103226</v>
      </c>
      <c r="X138" s="142"/>
      <c r="Y138" s="198"/>
    </row>
    <row r="139" spans="13:25" hidden="1">
      <c r="M139" s="205">
        <f t="shared" si="34"/>
        <v>6.4431951875041333</v>
      </c>
      <c r="N139" s="206">
        <f t="shared" si="42"/>
        <v>6.4431951875041333</v>
      </c>
      <c r="O139" s="207">
        <f t="shared" si="35"/>
        <v>0.11245497037060052</v>
      </c>
      <c r="P139" s="138">
        <f t="shared" si="36"/>
        <v>335.44104672083614</v>
      </c>
      <c r="Q139" s="138">
        <f t="shared" si="37"/>
        <v>272.70211277044541</v>
      </c>
      <c r="R139" s="138">
        <f t="shared" si="43"/>
        <v>350.12376958800905</v>
      </c>
      <c r="S139" s="139">
        <f t="shared" si="44"/>
        <v>348.70117033182458</v>
      </c>
      <c r="T139" s="140">
        <f t="shared" si="38"/>
        <v>24.558953279163859</v>
      </c>
      <c r="U139" s="141">
        <f t="shared" si="39"/>
        <v>87.29788722955459</v>
      </c>
      <c r="V139" s="142">
        <f t="shared" si="40"/>
        <v>9.8762304119909459</v>
      </c>
      <c r="W139" s="142">
        <f t="shared" si="41"/>
        <v>11.298829668175415</v>
      </c>
      <c r="X139" s="142"/>
      <c r="Y139" s="198"/>
    </row>
    <row r="140" spans="13:25" hidden="1">
      <c r="M140" s="205">
        <f t="shared" si="34"/>
        <v>6.0599036586365447</v>
      </c>
      <c r="N140" s="206">
        <f t="shared" si="42"/>
        <v>6.0599036586365447</v>
      </c>
      <c r="O140" s="207">
        <f t="shared" si="35"/>
        <v>0.10576527119685822</v>
      </c>
      <c r="P140" s="138">
        <f t="shared" si="36"/>
        <v>335.20969884632314</v>
      </c>
      <c r="Q140" s="138">
        <f t="shared" si="37"/>
        <v>272.93346064495836</v>
      </c>
      <c r="R140" s="138" t="e">
        <f t="shared" si="43"/>
        <v>#N/A</v>
      </c>
      <c r="S140" s="139" t="e">
        <f t="shared" si="44"/>
        <v>#N/A</v>
      </c>
      <c r="T140" s="140">
        <f t="shared" si="38"/>
        <v>24.790301153676864</v>
      </c>
      <c r="U140" s="141">
        <f t="shared" si="39"/>
        <v>87.066539355041641</v>
      </c>
      <c r="V140" s="142" t="e">
        <f t="shared" si="40"/>
        <v>#N/A</v>
      </c>
      <c r="W140" s="142" t="e">
        <f t="shared" si="41"/>
        <v>#N/A</v>
      </c>
      <c r="X140" s="142"/>
      <c r="Y140" s="198"/>
    </row>
    <row r="141" spans="13:25" hidden="1">
      <c r="M141" s="205">
        <f t="shared" si="34"/>
        <v>5.676612129768956</v>
      </c>
      <c r="N141" s="206">
        <f t="shared" si="42"/>
        <v>5.676612129768956</v>
      </c>
      <c r="O141" s="207">
        <f t="shared" si="35"/>
        <v>9.9075572023115899E-2</v>
      </c>
      <c r="P141" s="138">
        <f t="shared" si="36"/>
        <v>334.97264031199177</v>
      </c>
      <c r="Q141" s="138">
        <f t="shared" si="37"/>
        <v>273.17051917928973</v>
      </c>
      <c r="R141" s="138" t="e">
        <f t="shared" si="43"/>
        <v>#N/A</v>
      </c>
      <c r="S141" s="139" t="e">
        <f t="shared" si="44"/>
        <v>#N/A</v>
      </c>
      <c r="T141" s="140">
        <f t="shared" si="38"/>
        <v>25.027359688008232</v>
      </c>
      <c r="U141" s="141">
        <f t="shared" si="39"/>
        <v>86.829480820710273</v>
      </c>
      <c r="V141" s="142" t="e">
        <f t="shared" si="40"/>
        <v>#N/A</v>
      </c>
      <c r="W141" s="142" t="e">
        <f t="shared" si="41"/>
        <v>#N/A</v>
      </c>
      <c r="X141" s="142"/>
      <c r="Y141" s="198"/>
    </row>
    <row r="142" spans="13:25" hidden="1">
      <c r="M142" s="205">
        <f t="shared" si="34"/>
        <v>5.2933206009013674</v>
      </c>
      <c r="N142" s="206">
        <f t="shared" si="42"/>
        <v>5.2933206009013674</v>
      </c>
      <c r="O142" s="207">
        <f t="shared" si="35"/>
        <v>9.2385872849373579E-2</v>
      </c>
      <c r="P142" s="138">
        <f t="shared" si="36"/>
        <v>334.72973508439446</v>
      </c>
      <c r="Q142" s="138">
        <f t="shared" si="37"/>
        <v>273.41342440688709</v>
      </c>
      <c r="R142" s="138" t="e">
        <f t="shared" si="43"/>
        <v>#N/A</v>
      </c>
      <c r="S142" s="139" t="e">
        <f t="shared" si="44"/>
        <v>#N/A</v>
      </c>
      <c r="T142" s="140">
        <f t="shared" si="38"/>
        <v>25.270264915605537</v>
      </c>
      <c r="U142" s="141">
        <f t="shared" si="39"/>
        <v>86.586575593112912</v>
      </c>
      <c r="V142" s="142" t="e">
        <f t="shared" si="40"/>
        <v>#N/A</v>
      </c>
      <c r="W142" s="142" t="e">
        <f t="shared" si="41"/>
        <v>#N/A</v>
      </c>
      <c r="X142" s="142"/>
      <c r="Y142" s="198"/>
    </row>
    <row r="143" spans="13:25" hidden="1">
      <c r="M143" s="205">
        <f t="shared" si="34"/>
        <v>4.9100290720337787</v>
      </c>
      <c r="N143" s="206">
        <f t="shared" si="42"/>
        <v>4.9100290720337787</v>
      </c>
      <c r="O143" s="207">
        <f t="shared" si="35"/>
        <v>8.5696173675631274E-2</v>
      </c>
      <c r="P143" s="138">
        <f t="shared" si="36"/>
        <v>334.48083871194183</v>
      </c>
      <c r="Q143" s="138">
        <f t="shared" si="37"/>
        <v>273.66232077933972</v>
      </c>
      <c r="R143" s="138" t="e">
        <f t="shared" si="43"/>
        <v>#N/A</v>
      </c>
      <c r="S143" s="139" t="e">
        <f t="shared" si="44"/>
        <v>#N/A</v>
      </c>
      <c r="T143" s="140">
        <f t="shared" si="38"/>
        <v>25.519161288058172</v>
      </c>
      <c r="U143" s="141">
        <f t="shared" si="39"/>
        <v>86.337679220660277</v>
      </c>
      <c r="V143" s="142" t="e">
        <f t="shared" si="40"/>
        <v>#N/A</v>
      </c>
      <c r="W143" s="142" t="e">
        <f t="shared" si="41"/>
        <v>#N/A</v>
      </c>
      <c r="X143" s="142"/>
      <c r="Y143" s="198"/>
    </row>
    <row r="144" spans="13:25" hidden="1">
      <c r="M144" s="205">
        <f t="shared" si="34"/>
        <v>4.52673754316619</v>
      </c>
      <c r="N144" s="206">
        <f t="shared" si="42"/>
        <v>4.52673754316619</v>
      </c>
      <c r="O144" s="207">
        <f t="shared" si="35"/>
        <v>7.9006474501888954E-2</v>
      </c>
      <c r="P144" s="138">
        <f t="shared" si="36"/>
        <v>334.22579770348403</v>
      </c>
      <c r="Q144" s="138">
        <f t="shared" si="37"/>
        <v>273.91736178779752</v>
      </c>
      <c r="R144" s="138" t="e">
        <f t="shared" si="43"/>
        <v>#N/A</v>
      </c>
      <c r="S144" s="139" t="e">
        <f t="shared" si="44"/>
        <v>#N/A</v>
      </c>
      <c r="T144" s="140">
        <f t="shared" si="38"/>
        <v>25.774202296515966</v>
      </c>
      <c r="U144" s="141">
        <f t="shared" si="39"/>
        <v>86.082638212202482</v>
      </c>
      <c r="V144" s="142" t="e">
        <f t="shared" si="40"/>
        <v>#N/A</v>
      </c>
      <c r="W144" s="142" t="e">
        <f t="shared" si="41"/>
        <v>#N/A</v>
      </c>
      <c r="X144" s="142"/>
      <c r="Y144" s="198"/>
    </row>
    <row r="145" spans="13:25" hidden="1">
      <c r="M145" s="205">
        <f t="shared" si="34"/>
        <v>4.1434460142986014</v>
      </c>
      <c r="N145" s="206">
        <f t="shared" si="42"/>
        <v>4.1434460142986014</v>
      </c>
      <c r="O145" s="207">
        <f t="shared" si="35"/>
        <v>7.2316775328146635E-2</v>
      </c>
      <c r="P145" s="138">
        <f t="shared" si="36"/>
        <v>333.96444884121911</v>
      </c>
      <c r="Q145" s="138">
        <f t="shared" si="37"/>
        <v>274.17871065006238</v>
      </c>
      <c r="R145" s="138" t="e">
        <f t="shared" si="43"/>
        <v>#N/A</v>
      </c>
      <c r="S145" s="139" t="e">
        <f t="shared" si="44"/>
        <v>#N/A</v>
      </c>
      <c r="T145" s="140">
        <f t="shared" si="38"/>
        <v>26.035551158780891</v>
      </c>
      <c r="U145" s="141">
        <f t="shared" si="39"/>
        <v>85.821289349937615</v>
      </c>
      <c r="V145" s="142" t="e">
        <f t="shared" si="40"/>
        <v>#N/A</v>
      </c>
      <c r="W145" s="142" t="e">
        <f t="shared" si="41"/>
        <v>#N/A</v>
      </c>
      <c r="X145" s="142"/>
      <c r="Y145" s="198"/>
    </row>
    <row r="146" spans="13:25" hidden="1">
      <c r="M146" s="205">
        <f t="shared" si="34"/>
        <v>3.7601544854310132</v>
      </c>
      <c r="N146" s="206">
        <f t="shared" si="42"/>
        <v>3.7601544854310132</v>
      </c>
      <c r="O146" s="207">
        <f t="shared" si="35"/>
        <v>6.5627076154404329E-2</v>
      </c>
      <c r="P146" s="138">
        <f t="shared" si="36"/>
        <v>333.69661841940177</v>
      </c>
      <c r="Q146" s="138">
        <f t="shared" si="37"/>
        <v>274.44654107187972</v>
      </c>
      <c r="R146" s="138" t="e">
        <f t="shared" si="43"/>
        <v>#N/A</v>
      </c>
      <c r="S146" s="139" t="e">
        <f t="shared" si="44"/>
        <v>#N/A</v>
      </c>
      <c r="T146" s="140">
        <f t="shared" si="38"/>
        <v>26.303381580598227</v>
      </c>
      <c r="U146" s="141">
        <f t="shared" si="39"/>
        <v>85.553458928120278</v>
      </c>
      <c r="V146" s="142" t="e">
        <f t="shared" si="40"/>
        <v>#N/A</v>
      </c>
      <c r="W146" s="142" t="e">
        <f t="shared" si="41"/>
        <v>#N/A</v>
      </c>
      <c r="X146" s="142"/>
      <c r="Y146" s="198"/>
    </row>
    <row r="147" spans="13:25" hidden="1">
      <c r="M147" s="205">
        <f t="shared" si="34"/>
        <v>3.3768629565634249</v>
      </c>
      <c r="N147" s="206">
        <f t="shared" si="42"/>
        <v>3.3768629565634249</v>
      </c>
      <c r="O147" s="207">
        <f t="shared" si="35"/>
        <v>5.8937376980662023E-2</v>
      </c>
      <c r="P147" s="138">
        <f t="shared" si="36"/>
        <v>333.42212139896793</v>
      </c>
      <c r="Q147" s="138">
        <f t="shared" si="37"/>
        <v>274.72103809231356</v>
      </c>
      <c r="R147" s="138" t="e">
        <f t="shared" si="43"/>
        <v>#N/A</v>
      </c>
      <c r="S147" s="139" t="e">
        <f t="shared" si="44"/>
        <v>#N/A</v>
      </c>
      <c r="T147" s="140">
        <f t="shared" si="38"/>
        <v>26.577878601032069</v>
      </c>
      <c r="U147" s="141">
        <f t="shared" si="39"/>
        <v>85.278961907686437</v>
      </c>
      <c r="V147" s="142" t="e">
        <f t="shared" si="40"/>
        <v>#N/A</v>
      </c>
      <c r="W147" s="142" t="e">
        <f t="shared" si="41"/>
        <v>#N/A</v>
      </c>
      <c r="X147" s="142"/>
      <c r="Y147" s="198"/>
    </row>
    <row r="148" spans="13:25" hidden="1">
      <c r="M148" s="205">
        <f t="shared" si="34"/>
        <v>2.9935714276958367</v>
      </c>
      <c r="N148" s="206">
        <f t="shared" si="42"/>
        <v>2.9935714276958367</v>
      </c>
      <c r="O148" s="207">
        <f t="shared" si="35"/>
        <v>5.2247677806919718E-2</v>
      </c>
      <c r="P148" s="138">
        <f t="shared" si="36"/>
        <v>333.14076046658329</v>
      </c>
      <c r="Q148" s="138">
        <f t="shared" si="37"/>
        <v>275.00239902469826</v>
      </c>
      <c r="R148" s="138" t="e">
        <f t="shared" si="43"/>
        <v>#N/A</v>
      </c>
      <c r="S148" s="139" t="e">
        <f t="shared" si="44"/>
        <v>#N/A</v>
      </c>
      <c r="T148" s="140">
        <f t="shared" si="38"/>
        <v>26.859239533416712</v>
      </c>
      <c r="U148" s="141">
        <f t="shared" si="39"/>
        <v>84.997600975301737</v>
      </c>
      <c r="V148" s="142" t="e">
        <f t="shared" si="40"/>
        <v>#N/A</v>
      </c>
      <c r="W148" s="142" t="e">
        <f t="shared" si="41"/>
        <v>#N/A</v>
      </c>
      <c r="X148" s="142"/>
      <c r="Y148" s="198"/>
    </row>
    <row r="149" spans="13:25" hidden="1">
      <c r="M149" s="205">
        <f t="shared" si="34"/>
        <v>2.6102798988282485</v>
      </c>
      <c r="N149" s="206">
        <f t="shared" si="42"/>
        <v>2.6102798988282485</v>
      </c>
      <c r="O149" s="207">
        <f t="shared" si="35"/>
        <v>4.5557978633177412E-2</v>
      </c>
      <c r="P149" s="138">
        <f t="shared" si="36"/>
        <v>332.85232498470015</v>
      </c>
      <c r="Q149" s="138">
        <f t="shared" si="37"/>
        <v>275.29083450658135</v>
      </c>
      <c r="R149" s="138" t="e">
        <f t="shared" si="43"/>
        <v>#N/A</v>
      </c>
      <c r="S149" s="139" t="e">
        <f t="shared" si="44"/>
        <v>#N/A</v>
      </c>
      <c r="T149" s="140">
        <f t="shared" si="38"/>
        <v>27.147675015299853</v>
      </c>
      <c r="U149" s="141">
        <f t="shared" si="39"/>
        <v>84.709165493418652</v>
      </c>
      <c r="V149" s="142" t="e">
        <f t="shared" si="40"/>
        <v>#N/A</v>
      </c>
      <c r="W149" s="142" t="e">
        <f t="shared" si="41"/>
        <v>#N/A</v>
      </c>
      <c r="X149" s="142"/>
      <c r="Y149" s="198"/>
    </row>
    <row r="150" spans="13:25" hidden="1">
      <c r="M150" s="205">
        <f t="shared" si="34"/>
        <v>2.2269883699606603</v>
      </c>
      <c r="N150" s="206">
        <f t="shared" si="42"/>
        <v>2.2269883699606603</v>
      </c>
      <c r="O150" s="207">
        <f t="shared" si="35"/>
        <v>3.8868279459435107E-2</v>
      </c>
      <c r="P150" s="138">
        <f t="shared" si="36"/>
        <v>332.55658981690931</v>
      </c>
      <c r="Q150" s="138">
        <f t="shared" si="37"/>
        <v>275.58656967437224</v>
      </c>
      <c r="R150" s="138" t="e">
        <f t="shared" si="43"/>
        <v>#N/A</v>
      </c>
      <c r="S150" s="139" t="e">
        <f t="shared" si="44"/>
        <v>#N/A</v>
      </c>
      <c r="T150" s="140">
        <f t="shared" si="38"/>
        <v>27.443410183090691</v>
      </c>
      <c r="U150" s="141">
        <f t="shared" si="39"/>
        <v>84.413430325627758</v>
      </c>
      <c r="V150" s="142" t="e">
        <f t="shared" si="40"/>
        <v>#N/A</v>
      </c>
      <c r="W150" s="142" t="e">
        <f t="shared" si="41"/>
        <v>#N/A</v>
      </c>
      <c r="X150" s="142"/>
      <c r="Y150" s="198"/>
    </row>
    <row r="151" spans="13:25" hidden="1">
      <c r="M151" s="205">
        <f t="shared" si="34"/>
        <v>1.8436968410930721</v>
      </c>
      <c r="N151" s="206">
        <f t="shared" si="42"/>
        <v>1.8436968410930721</v>
      </c>
      <c r="O151" s="207">
        <f t="shared" si="35"/>
        <v>3.2178580285692801E-2</v>
      </c>
      <c r="P151" s="138">
        <f t="shared" si="36"/>
        <v>332.25331401010254</v>
      </c>
      <c r="Q151" s="138">
        <f t="shared" si="37"/>
        <v>275.88984548117901</v>
      </c>
      <c r="R151" s="138" t="e">
        <f t="shared" si="43"/>
        <v>#N/A</v>
      </c>
      <c r="S151" s="139" t="e">
        <f t="shared" si="44"/>
        <v>#N/A</v>
      </c>
      <c r="T151" s="140">
        <f t="shared" si="38"/>
        <v>27.746685989897458</v>
      </c>
      <c r="U151" s="141">
        <f t="shared" si="39"/>
        <v>84.110154518820991</v>
      </c>
      <c r="V151" s="142" t="e">
        <f t="shared" si="40"/>
        <v>#N/A</v>
      </c>
      <c r="W151" s="142" t="e">
        <f t="shared" si="41"/>
        <v>#N/A</v>
      </c>
      <c r="X151" s="142"/>
      <c r="Y151" s="198"/>
    </row>
    <row r="152" spans="13:25" hidden="1">
      <c r="M152" s="205">
        <f t="shared" si="34"/>
        <v>1.4604053122254839</v>
      </c>
      <c r="N152" s="206">
        <f t="shared" si="42"/>
        <v>1.4604053122254839</v>
      </c>
      <c r="O152" s="207">
        <f t="shared" si="35"/>
        <v>2.5488881111950492E-2</v>
      </c>
      <c r="P152" s="138">
        <f t="shared" si="36"/>
        <v>331.94223931161542</v>
      </c>
      <c r="Q152" s="138">
        <f t="shared" si="37"/>
        <v>276.20092017966613</v>
      </c>
      <c r="R152" s="138" t="e">
        <f t="shared" si="43"/>
        <v>#N/A</v>
      </c>
      <c r="S152" s="139" t="e">
        <f t="shared" si="44"/>
        <v>#N/A</v>
      </c>
      <c r="T152" s="140">
        <f t="shared" si="38"/>
        <v>28.057760688384576</v>
      </c>
      <c r="U152" s="141">
        <f t="shared" si="39"/>
        <v>83.799079820333873</v>
      </c>
      <c r="V152" s="142" t="e">
        <f t="shared" si="40"/>
        <v>#N/A</v>
      </c>
      <c r="W152" s="142" t="e">
        <f t="shared" si="41"/>
        <v>#N/A</v>
      </c>
      <c r="X152" s="142"/>
      <c r="Y152" s="198"/>
    </row>
    <row r="153" spans="13:25" hidden="1">
      <c r="M153" s="205">
        <f t="shared" si="34"/>
        <v>1.0771137833578956</v>
      </c>
      <c r="N153" s="206">
        <f t="shared" si="42"/>
        <v>1.0771137833578956</v>
      </c>
      <c r="O153" s="207">
        <f t="shared" si="35"/>
        <v>1.8799181938208183E-2</v>
      </c>
      <c r="P153" s="138">
        <f t="shared" si="36"/>
        <v>331.62308849544962</v>
      </c>
      <c r="Q153" s="138">
        <f t="shared" si="37"/>
        <v>276.52007099583187</v>
      </c>
      <c r="R153" s="138" t="e">
        <f t="shared" si="43"/>
        <v>#N/A</v>
      </c>
      <c r="S153" s="139" t="e">
        <f t="shared" si="44"/>
        <v>#N/A</v>
      </c>
      <c r="T153" s="140">
        <f t="shared" si="38"/>
        <v>28.376911504550378</v>
      </c>
      <c r="U153" s="141">
        <f t="shared" si="39"/>
        <v>83.479929004168127</v>
      </c>
      <c r="V153" s="142" t="e">
        <f t="shared" si="40"/>
        <v>#N/A</v>
      </c>
      <c r="W153" s="142" t="e">
        <f t="shared" si="41"/>
        <v>#N/A</v>
      </c>
      <c r="X153" s="142"/>
      <c r="Y153" s="198"/>
    </row>
    <row r="154" spans="13:25" hidden="1">
      <c r="M154" s="205">
        <f t="shared" si="34"/>
        <v>0.69382225449030743</v>
      </c>
      <c r="N154" s="206">
        <f t="shared" si="42"/>
        <v>0.69382225449030743</v>
      </c>
      <c r="O154" s="207">
        <f t="shared" si="35"/>
        <v>1.2109482764465876E-2</v>
      </c>
      <c r="P154" s="138">
        <f t="shared" si="36"/>
        <v>331.29556346670671</v>
      </c>
      <c r="Q154" s="138">
        <f t="shared" si="37"/>
        <v>276.84759602457484</v>
      </c>
      <c r="R154" s="138" t="e">
        <f t="shared" si="43"/>
        <v>#N/A</v>
      </c>
      <c r="S154" s="139" t="e">
        <f t="shared" si="44"/>
        <v>#N/A</v>
      </c>
      <c r="T154" s="140">
        <f t="shared" si="38"/>
        <v>28.70443653329329</v>
      </c>
      <c r="U154" s="141">
        <f t="shared" si="39"/>
        <v>83.152403975425159</v>
      </c>
      <c r="V154" s="142" t="e">
        <f t="shared" si="40"/>
        <v>#N/A</v>
      </c>
      <c r="W154" s="142" t="e">
        <f t="shared" si="41"/>
        <v>#N/A</v>
      </c>
      <c r="X154" s="142"/>
      <c r="Y154" s="198"/>
    </row>
    <row r="155" spans="13:25" hidden="1">
      <c r="M155" s="205">
        <f t="shared" si="34"/>
        <v>0.31053072562271916</v>
      </c>
      <c r="N155" s="206">
        <f t="shared" si="42"/>
        <v>0.31053072562271916</v>
      </c>
      <c r="O155" s="207">
        <f t="shared" si="35"/>
        <v>5.4197835907235682E-3</v>
      </c>
      <c r="P155" s="138">
        <f t="shared" si="36"/>
        <v>330.95934310725886</v>
      </c>
      <c r="Q155" s="138">
        <f t="shared" si="37"/>
        <v>277.18381638402269</v>
      </c>
      <c r="R155" s="138" t="e">
        <f t="shared" si="43"/>
        <v>#N/A</v>
      </c>
      <c r="S155" s="139" t="e">
        <f t="shared" si="44"/>
        <v>#N/A</v>
      </c>
      <c r="T155" s="140">
        <f t="shared" si="38"/>
        <v>29.04065689274114</v>
      </c>
      <c r="U155" s="141">
        <f t="shared" si="39"/>
        <v>82.816183615977309</v>
      </c>
      <c r="V155" s="142" t="e">
        <f t="shared" si="40"/>
        <v>#N/A</v>
      </c>
      <c r="W155" s="142" t="e">
        <f t="shared" si="41"/>
        <v>#N/A</v>
      </c>
      <c r="X155" s="142"/>
      <c r="Y155" s="198"/>
    </row>
    <row r="156" spans="13:25" hidden="1">
      <c r="M156" s="205">
        <f t="shared" si="34"/>
        <v>-7.276080324486911E-2</v>
      </c>
      <c r="N156" s="206">
        <f t="shared" si="42"/>
        <v>-7.276080324486911E-2</v>
      </c>
      <c r="O156" s="207">
        <f t="shared" si="35"/>
        <v>-1.26991558301874E-3</v>
      </c>
      <c r="P156" s="138">
        <f t="shared" si="36"/>
        <v>330.61408081813852</v>
      </c>
      <c r="Q156" s="138">
        <f t="shared" si="37"/>
        <v>277.52907867314303</v>
      </c>
      <c r="R156" s="138" t="e">
        <f t="shared" si="43"/>
        <v>#N/A</v>
      </c>
      <c r="S156" s="139" t="e">
        <f t="shared" si="44"/>
        <v>#N/A</v>
      </c>
      <c r="T156" s="140">
        <f t="shared" si="38"/>
        <v>29.385919181861482</v>
      </c>
      <c r="U156" s="141">
        <f t="shared" si="39"/>
        <v>82.470921326856967</v>
      </c>
      <c r="V156" s="142" t="e">
        <f t="shared" si="40"/>
        <v>#N/A</v>
      </c>
      <c r="W156" s="142" t="e">
        <f t="shared" si="41"/>
        <v>#N/A</v>
      </c>
      <c r="X156" s="142"/>
      <c r="Y156" s="198"/>
    </row>
    <row r="157" spans="13:25" hidden="1">
      <c r="M157" s="205">
        <f t="shared" si="34"/>
        <v>-0.45605233211245738</v>
      </c>
      <c r="N157" s="206">
        <f t="shared" si="42"/>
        <v>-0.45605233211245738</v>
      </c>
      <c r="O157" s="207">
        <f t="shared" si="35"/>
        <v>-7.9596147567610482E-3</v>
      </c>
      <c r="P157" s="138">
        <f t="shared" si="36"/>
        <v>330.25940170475002</v>
      </c>
      <c r="Q157" s="138">
        <f t="shared" si="37"/>
        <v>277.88375778653153</v>
      </c>
      <c r="R157" s="138" t="e">
        <f t="shared" si="43"/>
        <v>#N/A</v>
      </c>
      <c r="S157" s="139" t="e">
        <f t="shared" si="44"/>
        <v>#N/A</v>
      </c>
      <c r="T157" s="140">
        <f t="shared" si="38"/>
        <v>29.740598295249981</v>
      </c>
      <c r="U157" s="141">
        <f t="shared" si="39"/>
        <v>82.116242213468468</v>
      </c>
      <c r="V157" s="142" t="e">
        <f t="shared" si="40"/>
        <v>#N/A</v>
      </c>
      <c r="W157" s="142" t="e">
        <f t="shared" si="41"/>
        <v>#N/A</v>
      </c>
      <c r="X157" s="142"/>
      <c r="Y157" s="198"/>
    </row>
    <row r="158" spans="13:25" hidden="1">
      <c r="M158" s="205">
        <f t="shared" si="34"/>
        <v>-0.83934386098004565</v>
      </c>
      <c r="N158" s="206">
        <f t="shared" si="42"/>
        <v>-0.83934386098004565</v>
      </c>
      <c r="O158" s="207">
        <f t="shared" si="35"/>
        <v>-1.4649313930503356E-2</v>
      </c>
      <c r="P158" s="138">
        <f t="shared" si="36"/>
        <v>329.89489933926694</v>
      </c>
      <c r="Q158" s="138">
        <f t="shared" si="37"/>
        <v>278.24826015201461</v>
      </c>
      <c r="R158" s="138" t="e">
        <f t="shared" si="43"/>
        <v>#N/A</v>
      </c>
      <c r="S158" s="139" t="e">
        <f t="shared" si="44"/>
        <v>#N/A</v>
      </c>
      <c r="T158" s="140">
        <f t="shared" si="38"/>
        <v>30.105100660733058</v>
      </c>
      <c r="U158" s="141">
        <f t="shared" si="39"/>
        <v>81.751739847985391</v>
      </c>
      <c r="V158" s="142" t="e">
        <f t="shared" si="40"/>
        <v>#N/A</v>
      </c>
      <c r="W158" s="142" t="e">
        <f t="shared" si="41"/>
        <v>#N/A</v>
      </c>
      <c r="X158" s="142"/>
      <c r="Y158" s="198"/>
    </row>
    <row r="159" spans="13:25" hidden="1">
      <c r="M159" s="205">
        <f t="shared" si="34"/>
        <v>-1.2226353898476339</v>
      </c>
      <c r="N159" s="206">
        <f t="shared" si="42"/>
        <v>-1.2226353898476339</v>
      </c>
      <c r="O159" s="207">
        <f t="shared" si="35"/>
        <v>-2.1339013104245665E-2</v>
      </c>
      <c r="P159" s="138">
        <f t="shared" si="36"/>
        <v>329.5201320197815</v>
      </c>
      <c r="Q159" s="138">
        <f t="shared" si="37"/>
        <v>278.62302747150005</v>
      </c>
      <c r="R159" s="138" t="e">
        <f t="shared" si="43"/>
        <v>#N/A</v>
      </c>
      <c r="S159" s="139" t="e">
        <f t="shared" si="44"/>
        <v>#N/A</v>
      </c>
      <c r="T159" s="140">
        <f t="shared" si="38"/>
        <v>30.479867980218501</v>
      </c>
      <c r="U159" s="141">
        <f t="shared" si="39"/>
        <v>81.376972528499948</v>
      </c>
      <c r="V159" s="142" t="e">
        <f t="shared" si="40"/>
        <v>#N/A</v>
      </c>
      <c r="W159" s="142" t="e">
        <f t="shared" si="41"/>
        <v>#N/A</v>
      </c>
      <c r="X159" s="142"/>
      <c r="Y159" s="198"/>
    </row>
    <row r="160" spans="13:25" hidden="1">
      <c r="M160" s="205">
        <f t="shared" si="34"/>
        <v>-1.6059269187152221</v>
      </c>
      <c r="N160" s="206">
        <f t="shared" si="42"/>
        <v>-1.6059269187152221</v>
      </c>
      <c r="O160" s="207">
        <f t="shared" si="35"/>
        <v>-2.802871227798797E-2</v>
      </c>
      <c r="P160" s="138">
        <f t="shared" si="36"/>
        <v>329.13461842698717</v>
      </c>
      <c r="Q160" s="138">
        <f t="shared" si="37"/>
        <v>279.00854106429438</v>
      </c>
      <c r="R160" s="138" t="e">
        <f t="shared" si="43"/>
        <v>#N/A</v>
      </c>
      <c r="S160" s="139" t="e">
        <f t="shared" si="44"/>
        <v>#N/A</v>
      </c>
      <c r="T160" s="140">
        <f t="shared" si="38"/>
        <v>30.865381573012826</v>
      </c>
      <c r="U160" s="141">
        <f t="shared" si="39"/>
        <v>80.991458935705623</v>
      </c>
      <c r="V160" s="142" t="e">
        <f t="shared" si="40"/>
        <v>#N/A</v>
      </c>
      <c r="W160" s="142" t="e">
        <f t="shared" si="41"/>
        <v>#N/A</v>
      </c>
      <c r="X160" s="142"/>
      <c r="Y160" s="198"/>
    </row>
    <row r="161" spans="13:25" hidden="1">
      <c r="M161" s="205">
        <f t="shared" si="34"/>
        <v>-1.9892184475828103</v>
      </c>
      <c r="N161" s="206">
        <f t="shared" si="42"/>
        <v>-1.9892184475828103</v>
      </c>
      <c r="O161" s="207">
        <f t="shared" si="35"/>
        <v>-3.4718411451730276E-2</v>
      </c>
      <c r="P161" s="138">
        <f t="shared" si="36"/>
        <v>328.73783255512319</v>
      </c>
      <c r="Q161" s="138">
        <f t="shared" si="37"/>
        <v>279.4053269361583</v>
      </c>
      <c r="R161" s="138" t="e">
        <f t="shared" si="43"/>
        <v>#N/A</v>
      </c>
      <c r="S161" s="139" t="e">
        <f t="shared" si="44"/>
        <v>#N/A</v>
      </c>
      <c r="T161" s="140">
        <f t="shared" si="38"/>
        <v>31.262167444876809</v>
      </c>
      <c r="U161" s="141">
        <f t="shared" si="39"/>
        <v>80.594673063841697</v>
      </c>
      <c r="V161" s="142" t="e">
        <f t="shared" si="40"/>
        <v>#N/A</v>
      </c>
      <c r="W161" s="142" t="e">
        <f t="shared" si="41"/>
        <v>#N/A</v>
      </c>
      <c r="X161" s="142"/>
      <c r="Y161" s="198"/>
    </row>
    <row r="162" spans="13:25" hidden="1">
      <c r="M162" s="205">
        <f t="shared" si="34"/>
        <v>-2.3725099764503987</v>
      </c>
      <c r="N162" s="206">
        <f t="shared" si="42"/>
        <v>-2.3725099764503987</v>
      </c>
      <c r="O162" s="207">
        <f t="shared" si="35"/>
        <v>-4.1408110625472588E-2</v>
      </c>
      <c r="P162" s="138">
        <f t="shared" si="36"/>
        <v>328.32919776286832</v>
      </c>
      <c r="Q162" s="138">
        <f t="shared" si="37"/>
        <v>279.81396172841323</v>
      </c>
      <c r="R162" s="138" t="e">
        <f t="shared" si="43"/>
        <v>#N/A</v>
      </c>
      <c r="S162" s="139" t="e">
        <f t="shared" si="44"/>
        <v>#N/A</v>
      </c>
      <c r="T162" s="140">
        <f t="shared" si="38"/>
        <v>31.670802237131682</v>
      </c>
      <c r="U162" s="141">
        <f t="shared" si="39"/>
        <v>80.186038271586767</v>
      </c>
      <c r="V162" s="142" t="e">
        <f t="shared" si="40"/>
        <v>#N/A</v>
      </c>
      <c r="W162" s="142" t="e">
        <f t="shared" si="41"/>
        <v>#N/A</v>
      </c>
      <c r="X162" s="142"/>
      <c r="Y162" s="198"/>
    </row>
    <row r="163" spans="13:25" hidden="1">
      <c r="M163" s="205">
        <f t="shared" si="34"/>
        <v>-2.755801505317987</v>
      </c>
      <c r="N163" s="206">
        <f t="shared" si="42"/>
        <v>-2.755801505317987</v>
      </c>
      <c r="O163" s="207">
        <f t="shared" si="35"/>
        <v>-4.8097809799214894E-2</v>
      </c>
      <c r="P163" s="138">
        <f t="shared" si="36"/>
        <v>327.90807974942686</v>
      </c>
      <c r="Q163" s="138">
        <f t="shared" si="37"/>
        <v>280.23507974185469</v>
      </c>
      <c r="R163" s="138" t="e">
        <f t="shared" si="43"/>
        <v>#N/A</v>
      </c>
      <c r="S163" s="139" t="e">
        <f t="shared" si="44"/>
        <v>#N/A</v>
      </c>
      <c r="T163" s="140">
        <f t="shared" si="38"/>
        <v>32.091920250573139</v>
      </c>
      <c r="U163" s="141">
        <f t="shared" si="39"/>
        <v>79.76492025814531</v>
      </c>
      <c r="V163" s="142" t="e">
        <f t="shared" si="40"/>
        <v>#N/A</v>
      </c>
      <c r="W163" s="142" t="e">
        <f t="shared" si="41"/>
        <v>#N/A</v>
      </c>
      <c r="X163" s="142"/>
      <c r="Y163" s="198"/>
    </row>
    <row r="164" spans="13:25" hidden="1">
      <c r="M164" s="205">
        <f t="shared" si="34"/>
        <v>-3.1390930341855752</v>
      </c>
      <c r="N164" s="206">
        <f t="shared" si="42"/>
        <v>-3.1390930341855752</v>
      </c>
      <c r="O164" s="207">
        <f t="shared" si="35"/>
        <v>-5.47875089729572E-2</v>
      </c>
      <c r="P164" s="138">
        <f t="shared" si="36"/>
        <v>327.47377820784817</v>
      </c>
      <c r="Q164" s="138">
        <f t="shared" si="37"/>
        <v>280.66938128343338</v>
      </c>
      <c r="R164" s="138" t="e">
        <f t="shared" si="43"/>
        <v>#N/A</v>
      </c>
      <c r="S164" s="139" t="e">
        <f t="shared" si="44"/>
        <v>#N/A</v>
      </c>
      <c r="T164" s="140">
        <f t="shared" si="38"/>
        <v>32.52622179215183</v>
      </c>
      <c r="U164" s="141">
        <f t="shared" si="39"/>
        <v>79.330618716566619</v>
      </c>
      <c r="V164" s="142" t="e">
        <f t="shared" si="40"/>
        <v>#N/A</v>
      </c>
      <c r="W164" s="142" t="e">
        <f t="shared" si="41"/>
        <v>#N/A</v>
      </c>
      <c r="X164" s="142"/>
      <c r="Y164" s="198"/>
    </row>
    <row r="165" spans="13:25" hidden="1">
      <c r="M165" s="205">
        <f t="shared" si="34"/>
        <v>-3.5223845630531634</v>
      </c>
      <c r="N165" s="206">
        <f t="shared" si="42"/>
        <v>-3.5223845630531634</v>
      </c>
      <c r="O165" s="207">
        <f t="shared" si="35"/>
        <v>-6.1477208146699512E-2</v>
      </c>
      <c r="P165" s="138">
        <f t="shared" si="36"/>
        <v>327.02551683688449</v>
      </c>
      <c r="Q165" s="138">
        <f t="shared" si="37"/>
        <v>281.11764265439706</v>
      </c>
      <c r="R165" s="138" t="e">
        <f t="shared" si="43"/>
        <v>#N/A</v>
      </c>
      <c r="S165" s="139" t="e">
        <f t="shared" si="44"/>
        <v>#N/A</v>
      </c>
      <c r="T165" s="140">
        <f t="shared" si="38"/>
        <v>32.974483163115508</v>
      </c>
      <c r="U165" s="141">
        <f t="shared" si="39"/>
        <v>78.882357345602941</v>
      </c>
      <c r="V165" s="142" t="e">
        <f t="shared" si="40"/>
        <v>#N/A</v>
      </c>
      <c r="W165" s="142" t="e">
        <f t="shared" si="41"/>
        <v>#N/A</v>
      </c>
      <c r="X165" s="142"/>
      <c r="Y165" s="198"/>
    </row>
    <row r="166" spans="13:25" hidden="1">
      <c r="M166" s="205">
        <f t="shared" si="34"/>
        <v>-3.9056760919207516</v>
      </c>
      <c r="N166" s="206">
        <f t="shared" si="42"/>
        <v>-3.9056760919207516</v>
      </c>
      <c r="O166" s="207">
        <f t="shared" si="35"/>
        <v>-6.8166907320441811E-2</v>
      </c>
      <c r="P166" s="138">
        <f t="shared" si="36"/>
        <v>326.56243129757496</v>
      </c>
      <c r="Q166" s="138">
        <f t="shared" si="37"/>
        <v>281.58072819370659</v>
      </c>
      <c r="R166" s="138" t="e">
        <f t="shared" si="43"/>
        <v>#N/A</v>
      </c>
      <c r="S166" s="139" t="e">
        <f t="shared" si="44"/>
        <v>#N/A</v>
      </c>
      <c r="T166" s="140">
        <f t="shared" si="38"/>
        <v>33.43756870242504</v>
      </c>
      <c r="U166" s="141">
        <f t="shared" si="39"/>
        <v>78.419271806293409</v>
      </c>
      <c r="V166" s="142" t="e">
        <f t="shared" si="40"/>
        <v>#N/A</v>
      </c>
      <c r="W166" s="142" t="e">
        <f t="shared" si="41"/>
        <v>#N/A</v>
      </c>
      <c r="X166" s="142"/>
      <c r="Y166" s="198"/>
    </row>
    <row r="167" spans="13:25" hidden="1">
      <c r="M167" s="205">
        <f t="shared" si="34"/>
        <v>-4.2889676207883403</v>
      </c>
      <c r="N167" s="206">
        <f t="shared" si="42"/>
        <v>-4.2889676207883403</v>
      </c>
      <c r="O167" s="207">
        <f t="shared" si="35"/>
        <v>-7.485660649418413E-2</v>
      </c>
      <c r="P167" s="138">
        <f t="shared" si="36"/>
        <v>326.08355457124031</v>
      </c>
      <c r="Q167" s="138">
        <f t="shared" si="37"/>
        <v>282.05960492004124</v>
      </c>
      <c r="R167" s="138" t="e">
        <f t="shared" si="43"/>
        <v>#N/A</v>
      </c>
      <c r="S167" s="139" t="e">
        <f t="shared" si="44"/>
        <v>#N/A</v>
      </c>
      <c r="T167" s="140">
        <f t="shared" si="38"/>
        <v>33.916445428759687</v>
      </c>
      <c r="U167" s="141">
        <f t="shared" si="39"/>
        <v>77.940395079958762</v>
      </c>
      <c r="V167" s="142" t="e">
        <f t="shared" si="40"/>
        <v>#N/A</v>
      </c>
      <c r="W167" s="142" t="e">
        <f t="shared" si="41"/>
        <v>#N/A</v>
      </c>
      <c r="X167" s="142"/>
      <c r="Y167" s="198"/>
    </row>
    <row r="168" spans="13:25" hidden="1">
      <c r="M168" s="205">
        <f t="shared" si="34"/>
        <v>-4.6722591496559289</v>
      </c>
      <c r="N168" s="206">
        <f t="shared" si="42"/>
        <v>-4.6722591496559289</v>
      </c>
      <c r="O168" s="207">
        <f t="shared" si="35"/>
        <v>-8.154630566792645E-2</v>
      </c>
      <c r="P168" s="138">
        <f t="shared" si="36"/>
        <v>325.5877989968792</v>
      </c>
      <c r="Q168" s="138">
        <f t="shared" si="37"/>
        <v>282.55536049440229</v>
      </c>
      <c r="R168" s="138" t="e">
        <f t="shared" ref="R168:R193" si="45">IFERROR(DEGREES(grt_+ACOS((SIN(h_)-SIN(d_)*SIN(O168))/COS(d_)/COS(O168))),#N/A)</f>
        <v>#N/A</v>
      </c>
      <c r="S168" s="139" t="e">
        <f t="shared" ref="S168:S193" si="46">IFERROR(DEGREES(grt_-ACOS((SIN(h_)-SIN(d_)*SIN(O168))/COS(d_)/COS(O168))),#N/A)</f>
        <v>#N/A</v>
      </c>
      <c r="T168" s="140">
        <f t="shared" si="38"/>
        <v>34.412201003120799</v>
      </c>
      <c r="U168" s="141">
        <f t="shared" si="39"/>
        <v>77.444639505597706</v>
      </c>
      <c r="V168" s="142" t="e">
        <f t="shared" si="40"/>
        <v>#N/A</v>
      </c>
      <c r="W168" s="142" t="e">
        <f t="shared" si="41"/>
        <v>#N/A</v>
      </c>
      <c r="X168" s="142"/>
      <c r="Y168" s="198"/>
    </row>
    <row r="169" spans="13:25" hidden="1">
      <c r="M169" s="205">
        <f t="shared" si="34"/>
        <v>-5.0555506785235176</v>
      </c>
      <c r="N169" s="206">
        <f t="shared" si="42"/>
        <v>-5.0555506785235176</v>
      </c>
      <c r="O169" s="207">
        <f t="shared" si="35"/>
        <v>-8.8236004841668755E-2</v>
      </c>
      <c r="P169" s="138">
        <f t="shared" si="36"/>
        <v>325.0739340157279</v>
      </c>
      <c r="Q169" s="138">
        <f t="shared" si="37"/>
        <v>283.06922547555365</v>
      </c>
      <c r="R169" s="138" t="e">
        <f t="shared" si="45"/>
        <v>#N/A</v>
      </c>
      <c r="S169" s="139" t="e">
        <f t="shared" si="46"/>
        <v>#N/A</v>
      </c>
      <c r="T169" s="140">
        <f t="shared" si="38"/>
        <v>34.9260659842721</v>
      </c>
      <c r="U169" s="141">
        <f t="shared" si="39"/>
        <v>76.930774524446349</v>
      </c>
      <c r="V169" s="142" t="e">
        <f t="shared" si="40"/>
        <v>#N/A</v>
      </c>
      <c r="W169" s="142" t="e">
        <f t="shared" si="41"/>
        <v>#N/A</v>
      </c>
      <c r="X169" s="142"/>
      <c r="Y169" s="198"/>
    </row>
    <row r="170" spans="13:25" hidden="1">
      <c r="M170" s="205">
        <f t="shared" si="34"/>
        <v>-5.4388422073911062</v>
      </c>
      <c r="N170" s="206">
        <f t="shared" si="42"/>
        <v>-5.4388422073911062</v>
      </c>
      <c r="O170" s="207">
        <f t="shared" si="35"/>
        <v>-9.4925704015411075E-2</v>
      </c>
      <c r="P170" s="138">
        <f t="shared" si="36"/>
        <v>324.54055829467507</v>
      </c>
      <c r="Q170" s="138">
        <f t="shared" si="37"/>
        <v>283.60260119660649</v>
      </c>
      <c r="R170" s="138" t="e">
        <f t="shared" si="45"/>
        <v>#N/A</v>
      </c>
      <c r="S170" s="139" t="e">
        <f t="shared" si="46"/>
        <v>#N/A</v>
      </c>
      <c r="T170" s="140">
        <f t="shared" si="38"/>
        <v>35.459441705324934</v>
      </c>
      <c r="U170" s="141">
        <f t="shared" si="39"/>
        <v>76.397398803393514</v>
      </c>
      <c r="V170" s="142" t="e">
        <f t="shared" si="40"/>
        <v>#N/A</v>
      </c>
      <c r="W170" s="142" t="e">
        <f t="shared" si="41"/>
        <v>#N/A</v>
      </c>
      <c r="X170" s="142"/>
      <c r="Y170" s="198"/>
    </row>
    <row r="171" spans="13:25" hidden="1">
      <c r="M171" s="205">
        <f t="shared" si="34"/>
        <v>-5.8221337362586949</v>
      </c>
      <c r="N171" s="206">
        <f t="shared" si="42"/>
        <v>-5.8221337362586949</v>
      </c>
      <c r="O171" s="207">
        <f t="shared" si="35"/>
        <v>-0.10161540318915339</v>
      </c>
      <c r="P171" s="138">
        <f t="shared" si="36"/>
        <v>323.98606438446762</v>
      </c>
      <c r="Q171" s="138">
        <f t="shared" si="37"/>
        <v>284.15709510681387</v>
      </c>
      <c r="R171" s="138" t="e">
        <f t="shared" si="45"/>
        <v>#N/A</v>
      </c>
      <c r="S171" s="139" t="e">
        <f t="shared" si="46"/>
        <v>#N/A</v>
      </c>
      <c r="T171" s="140">
        <f t="shared" si="38"/>
        <v>36.013935615532375</v>
      </c>
      <c r="U171" s="141">
        <f t="shared" si="39"/>
        <v>75.84290489318613</v>
      </c>
      <c r="V171" s="142" t="e">
        <f t="shared" si="40"/>
        <v>#N/A</v>
      </c>
      <c r="W171" s="142" t="e">
        <f t="shared" si="41"/>
        <v>#N/A</v>
      </c>
      <c r="X171" s="142"/>
      <c r="Y171" s="198"/>
    </row>
    <row r="172" spans="13:25" hidden="1">
      <c r="M172" s="205">
        <f t="shared" si="34"/>
        <v>-6.2054252651262836</v>
      </c>
      <c r="N172" s="206">
        <f t="shared" si="42"/>
        <v>-6.2054252651262836</v>
      </c>
      <c r="O172" s="207">
        <f t="shared" si="35"/>
        <v>-0.1083051023628957</v>
      </c>
      <c r="P172" s="138">
        <f t="shared" si="36"/>
        <v>323.40859330678398</v>
      </c>
      <c r="Q172" s="138">
        <f t="shared" si="37"/>
        <v>284.73456618449757</v>
      </c>
      <c r="R172" s="138" t="e">
        <f t="shared" si="45"/>
        <v>#N/A</v>
      </c>
      <c r="S172" s="139" t="e">
        <f t="shared" si="46"/>
        <v>#N/A</v>
      </c>
      <c r="T172" s="140">
        <f t="shared" si="38"/>
        <v>36.591406693216015</v>
      </c>
      <c r="U172" s="141">
        <f t="shared" si="39"/>
        <v>75.265433815502433</v>
      </c>
      <c r="V172" s="142" t="e">
        <f t="shared" si="40"/>
        <v>#N/A</v>
      </c>
      <c r="W172" s="142" t="e">
        <f t="shared" si="41"/>
        <v>#N/A</v>
      </c>
      <c r="X172" s="142"/>
      <c r="Y172" s="198"/>
    </row>
    <row r="173" spans="13:25" hidden="1">
      <c r="M173" s="205">
        <f t="shared" si="34"/>
        <v>-6.5887167939938722</v>
      </c>
      <c r="N173" s="206">
        <f t="shared" si="42"/>
        <v>-6.5887167939938722</v>
      </c>
      <c r="O173" s="207">
        <f t="shared" si="35"/>
        <v>-0.11499480153663802</v>
      </c>
      <c r="P173" s="138">
        <f t="shared" si="36"/>
        <v>322.80597531398587</v>
      </c>
      <c r="Q173" s="138">
        <f t="shared" si="37"/>
        <v>285.33718417729563</v>
      </c>
      <c r="R173" s="138" t="e">
        <f t="shared" si="45"/>
        <v>#N/A</v>
      </c>
      <c r="S173" s="139" t="e">
        <f t="shared" si="46"/>
        <v>#N/A</v>
      </c>
      <c r="T173" s="140">
        <f t="shared" si="38"/>
        <v>37.194024686014131</v>
      </c>
      <c r="U173" s="141">
        <f t="shared" si="39"/>
        <v>74.662815822704374</v>
      </c>
      <c r="V173" s="142" t="e">
        <f t="shared" si="40"/>
        <v>#N/A</v>
      </c>
      <c r="W173" s="142" t="e">
        <f t="shared" si="41"/>
        <v>#N/A</v>
      </c>
      <c r="X173" s="142"/>
      <c r="Y173" s="198"/>
    </row>
    <row r="174" spans="13:25" hidden="1">
      <c r="M174" s="205">
        <f t="shared" si="34"/>
        <v>-6.9720083228614609</v>
      </c>
      <c r="N174" s="206">
        <f t="shared" si="42"/>
        <v>-6.9720083228614609</v>
      </c>
      <c r="O174" s="207">
        <f t="shared" si="35"/>
        <v>-0.12168450071038034</v>
      </c>
      <c r="P174" s="138">
        <f t="shared" si="36"/>
        <v>322.17565128559221</v>
      </c>
      <c r="Q174" s="138">
        <f t="shared" si="37"/>
        <v>285.96750820568928</v>
      </c>
      <c r="R174" s="138" t="e">
        <f t="shared" si="45"/>
        <v>#N/A</v>
      </c>
      <c r="S174" s="139" t="e">
        <f t="shared" si="46"/>
        <v>#N/A</v>
      </c>
      <c r="T174" s="140">
        <f t="shared" si="38"/>
        <v>37.82434871440779</v>
      </c>
      <c r="U174" s="141">
        <f t="shared" si="39"/>
        <v>74.032491794310715</v>
      </c>
      <c r="V174" s="142" t="e">
        <f t="shared" si="40"/>
        <v>#N/A</v>
      </c>
      <c r="W174" s="142" t="e">
        <f t="shared" si="41"/>
        <v>#N/A</v>
      </c>
      <c r="X174" s="142"/>
      <c r="Y174" s="198"/>
    </row>
    <row r="175" spans="13:25" hidden="1">
      <c r="M175" s="205">
        <f t="shared" si="34"/>
        <v>-7.3552998517290495</v>
      </c>
      <c r="N175" s="206">
        <f t="shared" si="42"/>
        <v>-7.3552998517290495</v>
      </c>
      <c r="O175" s="207">
        <f t="shared" si="35"/>
        <v>-0.12837419988412266</v>
      </c>
      <c r="P175" s="138">
        <f t="shared" si="36"/>
        <v>321.51456639449952</v>
      </c>
      <c r="Q175" s="138">
        <f t="shared" si="37"/>
        <v>286.62859309678203</v>
      </c>
      <c r="R175" s="138" t="e">
        <f t="shared" si="45"/>
        <v>#N/A</v>
      </c>
      <c r="S175" s="139" t="e">
        <f t="shared" si="46"/>
        <v>#N/A</v>
      </c>
      <c r="T175" s="140">
        <f t="shared" si="38"/>
        <v>38.485433605500475</v>
      </c>
      <c r="U175" s="141">
        <f t="shared" si="39"/>
        <v>73.371406903217974</v>
      </c>
      <c r="V175" s="142" t="e">
        <f t="shared" si="40"/>
        <v>#N/A</v>
      </c>
      <c r="W175" s="142" t="e">
        <f t="shared" si="41"/>
        <v>#N/A</v>
      </c>
      <c r="X175" s="142"/>
      <c r="Y175" s="198"/>
    </row>
    <row r="176" spans="13:25" hidden="1">
      <c r="M176" s="205">
        <f t="shared" si="34"/>
        <v>-7.7385913805966382</v>
      </c>
      <c r="N176" s="206">
        <f t="shared" si="42"/>
        <v>-7.7385913805966382</v>
      </c>
      <c r="O176" s="207">
        <f t="shared" si="35"/>
        <v>-0.13506389905786498</v>
      </c>
      <c r="P176" s="138">
        <f t="shared" si="36"/>
        <v>320.81902302868508</v>
      </c>
      <c r="Q176" s="138">
        <f t="shared" si="37"/>
        <v>287.32413646259647</v>
      </c>
      <c r="R176" s="138" t="e">
        <f t="shared" si="45"/>
        <v>#N/A</v>
      </c>
      <c r="S176" s="139" t="e">
        <f t="shared" si="46"/>
        <v>#N/A</v>
      </c>
      <c r="T176" s="140">
        <f t="shared" si="38"/>
        <v>39.180976971314919</v>
      </c>
      <c r="U176" s="141">
        <f t="shared" si="39"/>
        <v>72.675863537403529</v>
      </c>
      <c r="V176" s="142" t="e">
        <f t="shared" si="40"/>
        <v>#N/A</v>
      </c>
      <c r="W176" s="142" t="e">
        <f t="shared" si="41"/>
        <v>#N/A</v>
      </c>
      <c r="X176" s="142"/>
      <c r="Y176" s="198"/>
    </row>
    <row r="177" spans="12:25" hidden="1">
      <c r="M177" s="205">
        <f t="shared" ref="M177:M193" si="47">IF(N177&gt;maxn,maxn,IF(N177&lt;mins,mins,N177))</f>
        <v>-8.121882909464226</v>
      </c>
      <c r="N177" s="206">
        <f t="shared" si="42"/>
        <v>-8.121882909464226</v>
      </c>
      <c r="O177" s="207">
        <f t="shared" ref="O177:O193" si="48">RADIANS(M177)</f>
        <v>-0.14175359823160727</v>
      </c>
      <c r="P177" s="138">
        <f t="shared" ref="P177:P193" si="49">IFERROR(DEGREES(grt+ACOS((SIN(h)-SIN(d)*SIN(O177))/COS(d)/COS(O177))),#N/A)</f>
        <v>320.08447204404087</v>
      </c>
      <c r="Q177" s="138">
        <f t="shared" ref="Q177:Q193" si="50">IFERROR(DEGREES(grt-ACOS((SIN(h)-SIN(d)*SIN(O177))/COS(d)/COS(O177))),#N/A)</f>
        <v>288.05868744724069</v>
      </c>
      <c r="R177" s="138" t="e">
        <f t="shared" si="45"/>
        <v>#N/A</v>
      </c>
      <c r="S177" s="139" t="e">
        <f t="shared" si="46"/>
        <v>#N/A</v>
      </c>
      <c r="T177" s="140">
        <f t="shared" ref="T177:T193" si="51">IF(P177&lt;0,ABS(P177),IF(P177&gt;360,-(P177-360),IF(AND(P177&gt;180,P177&lt;360),ABS(360-P177),-P177)))</f>
        <v>39.915527955959135</v>
      </c>
      <c r="U177" s="141">
        <f t="shared" ref="U177:U193" si="52">IF(Q177&lt;0,ABS(Q177),IF(Q177&gt;360,Q177-(Q177-360),IF(AND(Q177&gt;180,Q177&lt;360),ABS(360-Q177),-Q177)))</f>
        <v>71.941312552759314</v>
      </c>
      <c r="V177" s="142" t="e">
        <f t="shared" ref="V177:V193" si="53">IF(R177&lt;0,ABS(R177),IF(R177&gt;360,-(R177-360),IF(AND(R177&gt;180,R177&lt;360),ABS(360-R177),-R177)))</f>
        <v>#N/A</v>
      </c>
      <c r="W177" s="142" t="e">
        <f t="shared" ref="W177:W193" si="54">IF(S177&lt;0,ABS(S177),IF(S177&gt;360,-(S177-360),IF(AND(S177&gt;180,S177&lt;360),ABS(360-S177),-S177)))</f>
        <v>#N/A</v>
      </c>
      <c r="X177" s="142"/>
      <c r="Y177" s="198"/>
    </row>
    <row r="178" spans="12:25" hidden="1">
      <c r="M178" s="205">
        <f t="shared" si="47"/>
        <v>-8.5051744383318137</v>
      </c>
      <c r="N178" s="206">
        <f t="shared" si="42"/>
        <v>-8.5051744383318137</v>
      </c>
      <c r="O178" s="207">
        <f t="shared" si="48"/>
        <v>-0.14844329740534956</v>
      </c>
      <c r="P178" s="138">
        <f t="shared" si="49"/>
        <v>319.30520738142002</v>
      </c>
      <c r="Q178" s="138">
        <f t="shared" si="50"/>
        <v>288.83795210986148</v>
      </c>
      <c r="R178" s="138" t="e">
        <f t="shared" si="45"/>
        <v>#N/A</v>
      </c>
      <c r="S178" s="139" t="e">
        <f t="shared" si="46"/>
        <v>#N/A</v>
      </c>
      <c r="T178" s="140">
        <f t="shared" si="51"/>
        <v>40.694792618579982</v>
      </c>
      <c r="U178" s="141">
        <f t="shared" si="52"/>
        <v>71.162047890138524</v>
      </c>
      <c r="V178" s="142" t="e">
        <f t="shared" si="53"/>
        <v>#N/A</v>
      </c>
      <c r="W178" s="142" t="e">
        <f t="shared" si="54"/>
        <v>#N/A</v>
      </c>
      <c r="X178" s="142"/>
      <c r="Y178" s="198"/>
    </row>
    <row r="179" spans="12:25" hidden="1">
      <c r="M179" s="205">
        <f t="shared" si="47"/>
        <v>-8.8884659671994015</v>
      </c>
      <c r="N179" s="206">
        <f t="shared" si="42"/>
        <v>-8.8884659671994015</v>
      </c>
      <c r="O179" s="207">
        <f t="shared" si="48"/>
        <v>-0.15513299657909185</v>
      </c>
      <c r="P179" s="138">
        <f t="shared" si="49"/>
        <v>318.47390288344945</v>
      </c>
      <c r="Q179" s="138">
        <f t="shared" si="50"/>
        <v>289.6692566078321</v>
      </c>
      <c r="R179" s="138" t="e">
        <f t="shared" si="45"/>
        <v>#N/A</v>
      </c>
      <c r="S179" s="139" t="e">
        <f t="shared" si="46"/>
        <v>#N/A</v>
      </c>
      <c r="T179" s="140">
        <f t="shared" si="51"/>
        <v>41.526097116550545</v>
      </c>
      <c r="U179" s="141">
        <f t="shared" si="52"/>
        <v>70.330743392167903</v>
      </c>
      <c r="V179" s="142" t="e">
        <f t="shared" si="53"/>
        <v>#N/A</v>
      </c>
      <c r="W179" s="142" t="e">
        <f t="shared" si="54"/>
        <v>#N/A</v>
      </c>
      <c r="X179" s="142"/>
      <c r="Y179" s="198"/>
    </row>
    <row r="180" spans="12:25" hidden="1">
      <c r="M180" s="205">
        <f t="shared" si="47"/>
        <v>-9.2717574960669893</v>
      </c>
      <c r="N180" s="206">
        <f t="shared" si="42"/>
        <v>-9.2717574960669893</v>
      </c>
      <c r="O180" s="207">
        <f t="shared" si="48"/>
        <v>-0.16182269575283417</v>
      </c>
      <c r="P180" s="138">
        <f t="shared" si="49"/>
        <v>317.58087827941011</v>
      </c>
      <c r="Q180" s="138">
        <f t="shared" si="50"/>
        <v>290.56228121187144</v>
      </c>
      <c r="R180" s="138" t="e">
        <f t="shared" si="45"/>
        <v>#N/A</v>
      </c>
      <c r="S180" s="139" t="e">
        <f t="shared" si="46"/>
        <v>#N/A</v>
      </c>
      <c r="T180" s="140">
        <f t="shared" si="51"/>
        <v>42.419121720589885</v>
      </c>
      <c r="U180" s="141">
        <f t="shared" si="52"/>
        <v>69.437718788128564</v>
      </c>
      <c r="V180" s="142" t="e">
        <f t="shared" si="53"/>
        <v>#N/A</v>
      </c>
      <c r="W180" s="142" t="e">
        <f t="shared" si="54"/>
        <v>#N/A</v>
      </c>
      <c r="X180" s="142"/>
      <c r="Y180" s="198"/>
    </row>
    <row r="181" spans="12:25" hidden="1">
      <c r="M181" s="205">
        <f t="shared" si="47"/>
        <v>-9.6550490249345771</v>
      </c>
      <c r="N181" s="206">
        <f t="shared" si="42"/>
        <v>-9.6550490249345771</v>
      </c>
      <c r="O181" s="207">
        <f t="shared" si="48"/>
        <v>-0.16851239492657646</v>
      </c>
      <c r="P181" s="138">
        <f t="shared" si="49"/>
        <v>316.61287087214612</v>
      </c>
      <c r="Q181" s="138">
        <f t="shared" si="50"/>
        <v>291.53028861913543</v>
      </c>
      <c r="R181" s="138" t="e">
        <f t="shared" si="45"/>
        <v>#N/A</v>
      </c>
      <c r="S181" s="139" t="e">
        <f t="shared" si="46"/>
        <v>#N/A</v>
      </c>
      <c r="T181" s="140">
        <f t="shared" si="51"/>
        <v>43.387129127853882</v>
      </c>
      <c r="U181" s="141">
        <f t="shared" si="52"/>
        <v>68.469711380864567</v>
      </c>
      <c r="V181" s="142" t="e">
        <f t="shared" si="53"/>
        <v>#N/A</v>
      </c>
      <c r="W181" s="142" t="e">
        <f t="shared" si="54"/>
        <v>#N/A</v>
      </c>
      <c r="X181" s="142"/>
      <c r="Y181" s="198"/>
    </row>
    <row r="182" spans="12:25" hidden="1">
      <c r="M182" s="205">
        <f t="shared" si="47"/>
        <v>-10.038340553802165</v>
      </c>
      <c r="N182" s="206">
        <f t="shared" si="42"/>
        <v>-10.038340553802165</v>
      </c>
      <c r="O182" s="207">
        <f t="shared" si="48"/>
        <v>-0.17520209410031876</v>
      </c>
      <c r="P182" s="138">
        <f t="shared" si="49"/>
        <v>315.55083184441281</v>
      </c>
      <c r="Q182" s="138">
        <f t="shared" si="50"/>
        <v>292.59232764686874</v>
      </c>
      <c r="R182" s="138" t="e">
        <f t="shared" si="45"/>
        <v>#N/A</v>
      </c>
      <c r="S182" s="139" t="e">
        <f t="shared" si="46"/>
        <v>#N/A</v>
      </c>
      <c r="T182" s="140">
        <f t="shared" si="51"/>
        <v>44.449168155587188</v>
      </c>
      <c r="U182" s="141">
        <f t="shared" si="52"/>
        <v>67.407672353131261</v>
      </c>
      <c r="V182" s="142" t="e">
        <f t="shared" si="53"/>
        <v>#N/A</v>
      </c>
      <c r="W182" s="142" t="e">
        <f t="shared" si="54"/>
        <v>#N/A</v>
      </c>
      <c r="X182" s="142"/>
      <c r="Y182" s="198"/>
    </row>
    <row r="183" spans="12:25" hidden="1">
      <c r="M183" s="205">
        <f t="shared" si="47"/>
        <v>-10.421632082669753</v>
      </c>
      <c r="N183" s="206">
        <f t="shared" si="42"/>
        <v>-10.421632082669753</v>
      </c>
      <c r="O183" s="207">
        <f t="shared" si="48"/>
        <v>-0.18189179327406105</v>
      </c>
      <c r="P183" s="138">
        <f t="shared" si="49"/>
        <v>314.36558929351821</v>
      </c>
      <c r="Q183" s="138">
        <f t="shared" si="50"/>
        <v>293.77757019776334</v>
      </c>
      <c r="R183" s="138" t="e">
        <f t="shared" si="45"/>
        <v>#N/A</v>
      </c>
      <c r="S183" s="139" t="e">
        <f t="shared" si="46"/>
        <v>#N/A</v>
      </c>
      <c r="T183" s="140">
        <f t="shared" si="51"/>
        <v>45.634410706481788</v>
      </c>
      <c r="U183" s="141">
        <f t="shared" si="52"/>
        <v>66.222429802236661</v>
      </c>
      <c r="V183" s="142" t="e">
        <f t="shared" si="53"/>
        <v>#N/A</v>
      </c>
      <c r="W183" s="142" t="e">
        <f t="shared" si="54"/>
        <v>#N/A</v>
      </c>
      <c r="X183" s="142"/>
      <c r="Y183" s="198"/>
    </row>
    <row r="184" spans="12:25" hidden="1">
      <c r="M184" s="205">
        <f t="shared" si="47"/>
        <v>-10.80492361153734</v>
      </c>
      <c r="N184" s="206">
        <f t="shared" si="42"/>
        <v>-10.80492361153734</v>
      </c>
      <c r="O184" s="207">
        <f t="shared" si="48"/>
        <v>-0.18858149244780337</v>
      </c>
      <c r="P184" s="138">
        <f t="shared" si="49"/>
        <v>313.00812735193989</v>
      </c>
      <c r="Q184" s="138">
        <f t="shared" si="50"/>
        <v>295.13503213934166</v>
      </c>
      <c r="R184" s="138" t="e">
        <f t="shared" si="45"/>
        <v>#N/A</v>
      </c>
      <c r="S184" s="139" t="e">
        <f t="shared" si="46"/>
        <v>#N/A</v>
      </c>
      <c r="T184" s="140">
        <f t="shared" si="51"/>
        <v>46.991872648060109</v>
      </c>
      <c r="U184" s="141">
        <f t="shared" si="52"/>
        <v>64.864967860658339</v>
      </c>
      <c r="V184" s="142" t="e">
        <f t="shared" si="53"/>
        <v>#N/A</v>
      </c>
      <c r="W184" s="142" t="e">
        <f t="shared" si="54"/>
        <v>#N/A</v>
      </c>
      <c r="X184" s="142"/>
      <c r="Y184" s="198"/>
    </row>
    <row r="185" spans="12:25" hidden="1">
      <c r="M185" s="205">
        <f t="shared" si="47"/>
        <v>-11.188215140404928</v>
      </c>
      <c r="N185" s="206">
        <f t="shared" si="42"/>
        <v>-11.188215140404928</v>
      </c>
      <c r="O185" s="207">
        <f t="shared" si="48"/>
        <v>-0.19527119162154566</v>
      </c>
      <c r="P185" s="138">
        <f t="shared" si="49"/>
        <v>311.38298232909926</v>
      </c>
      <c r="Q185" s="138">
        <f t="shared" si="50"/>
        <v>296.76017716218229</v>
      </c>
      <c r="R185" s="138" t="e">
        <f t="shared" si="45"/>
        <v>#N/A</v>
      </c>
      <c r="S185" s="139" t="e">
        <f t="shared" si="46"/>
        <v>#N/A</v>
      </c>
      <c r="T185" s="140">
        <f t="shared" si="51"/>
        <v>48.617017670900736</v>
      </c>
      <c r="U185" s="141">
        <f t="shared" si="52"/>
        <v>63.239822837817712</v>
      </c>
      <c r="V185" s="142" t="e">
        <f t="shared" si="53"/>
        <v>#N/A</v>
      </c>
      <c r="W185" s="142" t="e">
        <f t="shared" si="54"/>
        <v>#N/A</v>
      </c>
      <c r="X185" s="142"/>
      <c r="Y185" s="198"/>
    </row>
    <row r="186" spans="12:25" hidden="1">
      <c r="M186" s="205">
        <f t="shared" si="47"/>
        <v>-11.571506669272516</v>
      </c>
      <c r="N186" s="206">
        <f t="shared" si="42"/>
        <v>-11.571506669272516</v>
      </c>
      <c r="O186" s="207">
        <f t="shared" si="48"/>
        <v>-0.20196089079528795</v>
      </c>
      <c r="P186" s="138">
        <f t="shared" si="49"/>
        <v>309.24346254300849</v>
      </c>
      <c r="Q186" s="138">
        <f t="shared" si="50"/>
        <v>298.899696948273</v>
      </c>
      <c r="R186" s="138" t="e">
        <f t="shared" si="45"/>
        <v>#N/A</v>
      </c>
      <c r="S186" s="139" t="e">
        <f t="shared" si="46"/>
        <v>#N/A</v>
      </c>
      <c r="T186" s="140">
        <f t="shared" si="51"/>
        <v>50.756537456991509</v>
      </c>
      <c r="U186" s="141">
        <f t="shared" si="52"/>
        <v>61.100303051726996</v>
      </c>
      <c r="V186" s="142" t="e">
        <f t="shared" si="53"/>
        <v>#N/A</v>
      </c>
      <c r="W186" s="142" t="e">
        <f t="shared" si="54"/>
        <v>#N/A</v>
      </c>
      <c r="X186" s="142"/>
      <c r="Y186" s="198"/>
    </row>
    <row r="187" spans="12:25" hidden="1">
      <c r="M187" s="205">
        <f t="shared" si="47"/>
        <v>-11.941054662610044</v>
      </c>
      <c r="N187" s="206">
        <f t="shared" si="42"/>
        <v>-11.954798198140104</v>
      </c>
      <c r="O187" s="207">
        <f t="shared" si="48"/>
        <v>-0.20841072002316591</v>
      </c>
      <c r="P187" s="138">
        <f t="shared" si="49"/>
        <v>304.91336680540098</v>
      </c>
      <c r="Q187" s="138">
        <f t="shared" si="50"/>
        <v>303.22979268588057</v>
      </c>
      <c r="R187" s="138" t="e">
        <f t="shared" si="45"/>
        <v>#N/A</v>
      </c>
      <c r="S187" s="139" t="e">
        <f t="shared" si="46"/>
        <v>#N/A</v>
      </c>
      <c r="T187" s="140">
        <f t="shared" si="51"/>
        <v>55.086633194599017</v>
      </c>
      <c r="U187" s="141">
        <f t="shared" si="52"/>
        <v>56.770207314119432</v>
      </c>
      <c r="V187" s="142" t="e">
        <f t="shared" si="53"/>
        <v>#N/A</v>
      </c>
      <c r="W187" s="142" t="e">
        <f t="shared" si="54"/>
        <v>#N/A</v>
      </c>
      <c r="X187" s="142"/>
      <c r="Y187" s="198"/>
    </row>
    <row r="188" spans="12:25" hidden="1">
      <c r="M188" s="205">
        <f t="shared" si="47"/>
        <v>-11.941054662610044</v>
      </c>
      <c r="N188" s="206">
        <f t="shared" si="42"/>
        <v>-12.338089727007691</v>
      </c>
      <c r="O188" s="207">
        <f t="shared" si="48"/>
        <v>-0.20841072002316591</v>
      </c>
      <c r="P188" s="138">
        <f t="shared" si="49"/>
        <v>304.91336680540098</v>
      </c>
      <c r="Q188" s="138">
        <f t="shared" si="50"/>
        <v>303.22979268588057</v>
      </c>
      <c r="R188" s="138" t="e">
        <f t="shared" si="45"/>
        <v>#N/A</v>
      </c>
      <c r="S188" s="139" t="e">
        <f t="shared" si="46"/>
        <v>#N/A</v>
      </c>
      <c r="T188" s="140">
        <f t="shared" si="51"/>
        <v>55.086633194599017</v>
      </c>
      <c r="U188" s="141">
        <f t="shared" si="52"/>
        <v>56.770207314119432</v>
      </c>
      <c r="V188" s="142" t="e">
        <f t="shared" si="53"/>
        <v>#N/A</v>
      </c>
      <c r="W188" s="142" t="e">
        <f t="shared" si="54"/>
        <v>#N/A</v>
      </c>
      <c r="X188" s="142"/>
      <c r="Y188" s="198"/>
    </row>
    <row r="189" spans="12:25" hidden="1">
      <c r="M189" s="205">
        <f t="shared" si="47"/>
        <v>-11.941054662610044</v>
      </c>
      <c r="N189" s="206">
        <f t="shared" si="42"/>
        <v>-12.721381255875279</v>
      </c>
      <c r="O189" s="207">
        <f t="shared" si="48"/>
        <v>-0.20841072002316591</v>
      </c>
      <c r="P189" s="138">
        <f t="shared" si="49"/>
        <v>304.91336680540098</v>
      </c>
      <c r="Q189" s="138">
        <f t="shared" si="50"/>
        <v>303.22979268588057</v>
      </c>
      <c r="R189" s="138" t="e">
        <f t="shared" si="45"/>
        <v>#N/A</v>
      </c>
      <c r="S189" s="139" t="e">
        <f t="shared" si="46"/>
        <v>#N/A</v>
      </c>
      <c r="T189" s="140">
        <f t="shared" si="51"/>
        <v>55.086633194599017</v>
      </c>
      <c r="U189" s="141">
        <f t="shared" si="52"/>
        <v>56.770207314119432</v>
      </c>
      <c r="V189" s="142" t="e">
        <f t="shared" si="53"/>
        <v>#N/A</v>
      </c>
      <c r="W189" s="142" t="e">
        <f t="shared" si="54"/>
        <v>#N/A</v>
      </c>
      <c r="X189" s="142"/>
      <c r="Y189" s="198"/>
    </row>
    <row r="190" spans="12:25">
      <c r="M190" s="205">
        <f t="shared" si="47"/>
        <v>-11.941054662610044</v>
      </c>
      <c r="N190" s="206">
        <f t="shared" si="42"/>
        <v>-13.104672784742867</v>
      </c>
      <c r="O190" s="207">
        <f t="shared" si="48"/>
        <v>-0.20841072002316591</v>
      </c>
      <c r="P190" s="138">
        <f t="shared" si="49"/>
        <v>304.91336680540098</v>
      </c>
      <c r="Q190" s="138">
        <f t="shared" si="50"/>
        <v>303.22979268588057</v>
      </c>
      <c r="R190" s="138" t="e">
        <f t="shared" si="45"/>
        <v>#N/A</v>
      </c>
      <c r="S190" s="139" t="e">
        <f t="shared" si="46"/>
        <v>#N/A</v>
      </c>
      <c r="T190" s="140">
        <f t="shared" si="51"/>
        <v>55.086633194599017</v>
      </c>
      <c r="U190" s="141">
        <f t="shared" si="52"/>
        <v>56.770207314119432</v>
      </c>
      <c r="V190" s="142" t="e">
        <f t="shared" si="53"/>
        <v>#N/A</v>
      </c>
      <c r="W190" s="142" t="e">
        <f t="shared" si="54"/>
        <v>#N/A</v>
      </c>
      <c r="X190" s="142"/>
      <c r="Y190" s="198"/>
    </row>
    <row r="191" spans="12:25" ht="17" thickBot="1">
      <c r="M191" s="205">
        <f t="shared" si="47"/>
        <v>-11.941054662610044</v>
      </c>
      <c r="N191" s="206">
        <f t="shared" si="42"/>
        <v>-13.487964313610455</v>
      </c>
      <c r="O191" s="207">
        <f t="shared" si="48"/>
        <v>-0.20841072002316591</v>
      </c>
      <c r="P191" s="138">
        <f t="shared" si="49"/>
        <v>304.91336680540098</v>
      </c>
      <c r="Q191" s="138">
        <f t="shared" si="50"/>
        <v>303.22979268588057</v>
      </c>
      <c r="R191" s="138" t="e">
        <f t="shared" si="45"/>
        <v>#N/A</v>
      </c>
      <c r="S191" s="139" t="e">
        <f t="shared" si="46"/>
        <v>#N/A</v>
      </c>
      <c r="T191" s="140">
        <f t="shared" si="51"/>
        <v>55.086633194599017</v>
      </c>
      <c r="U191" s="141">
        <f t="shared" si="52"/>
        <v>56.770207314119432</v>
      </c>
      <c r="V191" s="142" t="e">
        <f t="shared" si="53"/>
        <v>#N/A</v>
      </c>
      <c r="W191" s="142" t="e">
        <f t="shared" si="54"/>
        <v>#N/A</v>
      </c>
      <c r="X191" s="142"/>
      <c r="Y191" s="198"/>
    </row>
    <row r="192" spans="12:25">
      <c r="L192" s="180">
        <f>IFERROR(-90+DEGREES(h_)+DEGREES(d_)+0.01,0)</f>
        <v>6.438195187504073</v>
      </c>
      <c r="M192" s="205">
        <f t="shared" si="47"/>
        <v>-11.941054662610044</v>
      </c>
      <c r="N192" s="206">
        <f t="shared" si="42"/>
        <v>-13.871255842478043</v>
      </c>
      <c r="O192" s="207">
        <f t="shared" si="48"/>
        <v>-0.20841072002316591</v>
      </c>
      <c r="P192" s="138">
        <f t="shared" si="49"/>
        <v>304.91336680540098</v>
      </c>
      <c r="Q192" s="138">
        <f t="shared" si="50"/>
        <v>303.22979268588057</v>
      </c>
      <c r="R192" s="138" t="e">
        <f t="shared" si="45"/>
        <v>#N/A</v>
      </c>
      <c r="S192" s="139" t="e">
        <f t="shared" si="46"/>
        <v>#N/A</v>
      </c>
      <c r="T192" s="140">
        <f t="shared" si="51"/>
        <v>55.086633194599017</v>
      </c>
      <c r="U192" s="141">
        <f t="shared" si="52"/>
        <v>56.770207314119432</v>
      </c>
      <c r="V192" s="142" t="e">
        <f t="shared" si="53"/>
        <v>#N/A</v>
      </c>
      <c r="W192" s="142" t="e">
        <f t="shared" si="54"/>
        <v>#N/A</v>
      </c>
      <c r="X192" s="142"/>
      <c r="Y192" s="198"/>
    </row>
    <row r="193" spans="12:25" ht="17" thickBot="1">
      <c r="L193" s="181">
        <f>IFERROR(-90+DEGREES(h)+DEGREES(d)+0.01,0)</f>
        <v>-11.941054662610044</v>
      </c>
      <c r="M193" s="208">
        <f t="shared" si="47"/>
        <v>-11.941054662610044</v>
      </c>
      <c r="N193" s="209">
        <f t="shared" si="42"/>
        <v>-14.25454737134563</v>
      </c>
      <c r="O193" s="210">
        <f t="shared" si="48"/>
        <v>-0.20841072002316591</v>
      </c>
      <c r="P193" s="182">
        <f t="shared" si="49"/>
        <v>304.91336680540098</v>
      </c>
      <c r="Q193" s="182">
        <f t="shared" si="50"/>
        <v>303.22979268588057</v>
      </c>
      <c r="R193" s="182" t="e">
        <f t="shared" si="45"/>
        <v>#N/A</v>
      </c>
      <c r="S193" s="183" t="e">
        <f t="shared" si="46"/>
        <v>#N/A</v>
      </c>
      <c r="T193" s="184">
        <f t="shared" si="51"/>
        <v>55.086633194599017</v>
      </c>
      <c r="U193" s="185">
        <f t="shared" si="52"/>
        <v>56.770207314119432</v>
      </c>
      <c r="V193" s="186" t="e">
        <f t="shared" si="53"/>
        <v>#N/A</v>
      </c>
      <c r="W193" s="186" t="e">
        <f t="shared" si="54"/>
        <v>#N/A</v>
      </c>
      <c r="X193" s="199"/>
      <c r="Y193" s="200"/>
    </row>
    <row r="194" spans="12:25">
      <c r="M194" s="192">
        <f>DEGREES(js)</f>
        <v>35.79416151671569</v>
      </c>
      <c r="N194" s="193"/>
      <c r="O194" s="194"/>
      <c r="P194" s="193"/>
      <c r="Q194" s="193"/>
      <c r="R194" s="193"/>
      <c r="S194" s="193"/>
      <c r="T194" s="195"/>
      <c r="U194" s="195"/>
      <c r="V194" s="196"/>
      <c r="W194" s="196"/>
      <c r="X194" s="218">
        <f>IFERROR(DEGREES(ls),#N/A)</f>
        <v>19.572669225930063</v>
      </c>
      <c r="Y194" s="197"/>
    </row>
    <row r="195" spans="12:25">
      <c r="M195" s="211">
        <f>DEGREES(d)</f>
        <v>22.136615128476091</v>
      </c>
      <c r="N195" s="212"/>
      <c r="O195" s="212"/>
      <c r="P195" s="212"/>
      <c r="Q195" s="212"/>
      <c r="R195" s="212"/>
      <c r="S195" s="212"/>
      <c r="T195" s="212"/>
      <c r="U195" s="212"/>
      <c r="V195" s="212"/>
      <c r="W195" s="212"/>
      <c r="X195" s="212"/>
      <c r="Y195" s="213">
        <f>IF(DEGREES(grt)&lt;180,-DEGREES(grt),360-DEGREES(grt))</f>
        <v>55.928420254359253</v>
      </c>
    </row>
    <row r="196" spans="12:25" ht="17" thickBot="1">
      <c r="M196" s="214">
        <f>DEGREES(d_)</f>
        <v>22.153147871075191</v>
      </c>
      <c r="N196" s="215"/>
      <c r="O196" s="215"/>
      <c r="P196" s="216"/>
      <c r="Q196" s="216"/>
      <c r="R196" s="216"/>
      <c r="S196" s="216"/>
      <c r="T196" s="216"/>
      <c r="U196" s="216"/>
      <c r="V196" s="216"/>
      <c r="W196" s="216"/>
      <c r="X196" s="216"/>
      <c r="Y196" s="217">
        <f>IF(DEGREES(grt_)&lt;180,-DEGREES(grt_),360-DEGREES(grt_))</f>
        <v>10.587530040083209</v>
      </c>
    </row>
    <row r="197" spans="12:25">
      <c r="M197" s="187"/>
      <c r="N197" s="187"/>
      <c r="O197" s="187"/>
      <c r="P197" s="187"/>
      <c r="Q197" s="187"/>
      <c r="R197" s="187"/>
      <c r="S197" s="187"/>
      <c r="T197" s="187"/>
      <c r="U197" s="187"/>
      <c r="V197" s="187"/>
      <c r="W197" s="187"/>
      <c r="X197" s="187"/>
      <c r="Y197" s="187"/>
    </row>
  </sheetData>
  <sheetProtection algorithmName="SHA-512" hashValue="cKFqDjvWh346rtOQGVASwKgzX+YJswCqX5InnPRRmmLKf9EEpYx/NTu5p6GRGPP14B+SScdd6w8fQOWqKwRszw==" saltValue="UpbVl0tDNu2bsX8F0ad1dg==" spinCount="100000" sheet="1" objects="1" scenarios="1" selectLockedCells="1" selectUnlockedCells="1"/>
  <mergeCells count="1">
    <mergeCell ref="H2:J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64</vt:i4>
      </vt:variant>
    </vt:vector>
  </HeadingPairs>
  <TitlesOfParts>
    <vt:vector size="67" baseType="lpstr">
      <vt:lpstr>Navigation</vt:lpstr>
      <vt:lpstr>Standortgrafik</vt:lpstr>
      <vt:lpstr>globale Grafik</vt:lpstr>
      <vt:lpstr>_A1</vt:lpstr>
      <vt:lpstr>_A2</vt:lpstr>
      <vt:lpstr>_A3</vt:lpstr>
      <vt:lpstr>_A4</vt:lpstr>
      <vt:lpstr>_B1</vt:lpstr>
      <vt:lpstr>_B2</vt:lpstr>
      <vt:lpstr>_B3</vt:lpstr>
      <vt:lpstr>_B4</vt:lpstr>
      <vt:lpstr>_l</vt:lpstr>
      <vt:lpstr>_ls</vt:lpstr>
      <vt:lpstr>_p1</vt:lpstr>
      <vt:lpstr>_p2</vt:lpstr>
      <vt:lpstr>_s1</vt:lpstr>
      <vt:lpstr>_s2</vt:lpstr>
      <vt:lpstr>_T1</vt:lpstr>
      <vt:lpstr>_T2</vt:lpstr>
      <vt:lpstr>add</vt:lpstr>
      <vt:lpstr>Az</vt:lpstr>
      <vt:lpstr>B</vt:lpstr>
      <vt:lpstr>B_</vt:lpstr>
      <vt:lpstr>BB</vt:lpstr>
      <vt:lpstr>cmg</vt:lpstr>
      <vt:lpstr>d</vt:lpstr>
      <vt:lpstr>d_</vt:lpstr>
      <vt:lpstr>dat</vt:lpstr>
      <vt:lpstr>dat_</vt:lpstr>
      <vt:lpstr>dmg</vt:lpstr>
      <vt:lpstr>F</vt:lpstr>
      <vt:lpstr>G</vt:lpstr>
      <vt:lpstr>grt</vt:lpstr>
      <vt:lpstr>grt_</vt:lpstr>
      <vt:lpstr>Gs</vt:lpstr>
      <vt:lpstr>h</vt:lpstr>
      <vt:lpstr>h_</vt:lpstr>
      <vt:lpstr>hs</vt:lpstr>
      <vt:lpstr>j</vt:lpstr>
      <vt:lpstr>js</vt:lpstr>
      <vt:lpstr>K</vt:lpstr>
      <vt:lpstr>lat</vt:lpstr>
      <vt:lpstr>LHA</vt:lpstr>
      <vt:lpstr>LHA_</vt:lpstr>
      <vt:lpstr>LHAa</vt:lpstr>
      <vt:lpstr>lon</vt:lpstr>
      <vt:lpstr>ls</vt:lpstr>
      <vt:lpstr>maxn</vt:lpstr>
      <vt:lpstr>maxs</vt:lpstr>
      <vt:lpstr>minn</vt:lpstr>
      <vt:lpstr>mins</vt:lpstr>
      <vt:lpstr>ot</vt:lpstr>
      <vt:lpstr>ot_</vt:lpstr>
      <vt:lpstr>q</vt:lpstr>
      <vt:lpstr>ref</vt:lpstr>
      <vt:lpstr>step</vt:lpstr>
      <vt:lpstr>t</vt:lpstr>
      <vt:lpstr>tau</vt:lpstr>
      <vt:lpstr>taus</vt:lpstr>
      <vt:lpstr>TG</vt:lpstr>
      <vt:lpstr>V</vt:lpstr>
      <vt:lpstr>var</vt:lpstr>
      <vt:lpstr>vb</vt:lpstr>
      <vt:lpstr>vl</vt:lpstr>
      <vt:lpstr>W</vt:lpstr>
      <vt:lpstr>Ws</vt:lpstr>
      <vt:lpstr>z_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Helmut Hoffrichter</cp:lastModifiedBy>
  <dcterms:created xsi:type="dcterms:W3CDTF">2018-01-04T14:37:05Z</dcterms:created>
  <dcterms:modified xsi:type="dcterms:W3CDTF">2025-12-04T12:58:57Z</dcterms:modified>
</cp:coreProperties>
</file>