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elmuthoffrichter/Downloads/"/>
    </mc:Choice>
  </mc:AlternateContent>
  <xr:revisionPtr revIDLastSave="0" documentId="13_ncr:1_{10056FB4-5CF3-874F-B738-5D041938234D}" xr6:coauthVersionLast="36" xr6:coauthVersionMax="36" xr10:uidLastSave="{00000000-0000-0000-0000-000000000000}"/>
  <bookViews>
    <workbookView xWindow="3420" yWindow="500" windowWidth="27540" windowHeight="17520" tabRatio="500" xr2:uid="{00000000-000D-0000-FFFF-FFFF00000000}"/>
  </bookViews>
  <sheets>
    <sheet name="Tabelle1" sheetId="3" r:id="rId1"/>
    <sheet name="Grafik" sheetId="2" r:id="rId2"/>
  </sheets>
  <definedNames>
    <definedName name="_A1">Tabelle1!$K$18</definedName>
    <definedName name="_A2">Tabelle1!$K$19</definedName>
    <definedName name="_A3">Tabelle1!$K$20</definedName>
    <definedName name="_A4">Tabelle1!$K$21</definedName>
    <definedName name="_B1">Tabelle1!$K$23</definedName>
    <definedName name="_B2">Tabelle1!$K$24</definedName>
    <definedName name="_B3">Tabelle1!$K$25</definedName>
    <definedName name="_B4">Tabelle1!$K$26</definedName>
    <definedName name="_T1">Tabelle1!$N$18</definedName>
    <definedName name="_T2">Tabelle1!$O$18</definedName>
    <definedName name="Az_°">Tabelle1!$U$30</definedName>
    <definedName name="Az°">Tabelle1!$U$18</definedName>
    <definedName name="B">Grafik!$M$12</definedName>
    <definedName name="B_">Grafik!$M$13</definedName>
    <definedName name="cmg">Tabelle1!$H$17</definedName>
    <definedName name="d">Tabelle1!$N$32</definedName>
    <definedName name="d_">Tabelle1!$O$32</definedName>
    <definedName name="dat">Tabelle1!$G$12</definedName>
    <definedName name="dat_">Tabelle1!$G$20</definedName>
    <definedName name="dmg">Tabelle1!$C$17</definedName>
    <definedName name="dt">Tabelle1!$Q$2</definedName>
    <definedName name="F">Tabelle1!$V$10</definedName>
    <definedName name="false">Tabelle1!$U$34</definedName>
    <definedName name="G">Tabelle1!$V$13</definedName>
    <definedName name="grt">Tabelle1!$N$31</definedName>
    <definedName name="grt_">Tabelle1!$O$31</definedName>
    <definedName name="Gs">Tabelle1!$V$21</definedName>
    <definedName name="h">Tabelle1!$L$13</definedName>
    <definedName name="h_">Tabelle1!$N$13</definedName>
    <definedName name="h_°">Tabelle1!$N$11</definedName>
    <definedName name="h°">Tabelle1!$L$11</definedName>
    <definedName name="hs">Tabelle1!$V$19</definedName>
    <definedName name="j">Tabelle1!$V$15</definedName>
    <definedName name="js">Tabelle1!$V$23</definedName>
    <definedName name="K">Tabelle1!$V$7</definedName>
    <definedName name="lat">Tabelle1!$U$23</definedName>
    <definedName name="lat°">Tabelle1!$U$15</definedName>
    <definedName name="LHA">Tabelle1!$V$17</definedName>
    <definedName name="LHA_">Tabelle1!$V$29</definedName>
    <definedName name="LHA°">Tabelle1!$U$17</definedName>
    <definedName name="LHA°_">Tabelle1!$U$29</definedName>
    <definedName name="lon">Tabelle1!$U$25</definedName>
    <definedName name="ls">Tabelle1!$V$25</definedName>
    <definedName name="ot">Tabelle1!$G$13</definedName>
    <definedName name="ot_">Tabelle1!$G$21</definedName>
    <definedName name="P">Tabelle1!$T$7</definedName>
    <definedName name="q">Tabelle1!$V$9</definedName>
    <definedName name="ref">Tabelle1!$K$28</definedName>
    <definedName name="tau">Tabelle1!$V$14</definedName>
    <definedName name="taus">Tabelle1!$V$22</definedName>
    <definedName name="TG">Tabelle1!$F$20</definedName>
    <definedName name="V">Tabelle1!$V$11</definedName>
    <definedName name="var">Tabelle1!$U$6</definedName>
    <definedName name="vb">Grafik!$O$9</definedName>
    <definedName name="vl">Grafik!$O$10</definedName>
    <definedName name="W">Tabelle1!$V$12</definedName>
    <definedName name="Ws">Tabelle1!$V$20</definedName>
    <definedName name="z_">Tabelle1!$V$30</definedName>
  </definedNames>
  <calcPr calcId="181029"/>
  <customWorkbookViews>
    <customWorkbookView name="Microsoft Office-Anwender - Persönliche Ansicht" guid="{C5C8DA39-C784-9F41-A13A-E8B47EB72839}" mergeInterval="0" personalView="1" windowWidth="1920" windowHeight="894" tabRatio="500" activeSheetId="1"/>
  </customWorkbookViews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V21" i="3" l="1"/>
  <c r="V13" i="3"/>
  <c r="G20" i="3" l="1"/>
  <c r="V7" i="3" s="1"/>
  <c r="C9" i="3" l="1"/>
  <c r="N18" i="3" l="1"/>
  <c r="H5" i="3" l="1"/>
  <c r="L7" i="3"/>
  <c r="L8" i="3" s="1"/>
  <c r="N7" i="3"/>
  <c r="N8" i="3" s="1"/>
  <c r="Q8" i="3"/>
  <c r="Q9" i="3" s="1"/>
  <c r="L10" i="3"/>
  <c r="N10" i="3"/>
  <c r="F13" i="3"/>
  <c r="K18" i="3"/>
  <c r="N19" i="3" s="1"/>
  <c r="N20" i="3" s="1"/>
  <c r="K19" i="3"/>
  <c r="N21" i="3" s="1"/>
  <c r="N22" i="3" s="1"/>
  <c r="K20" i="3"/>
  <c r="N24" i="3" s="1"/>
  <c r="R20" i="3"/>
  <c r="F21" i="3"/>
  <c r="K21" i="3"/>
  <c r="N27" i="3" s="1"/>
  <c r="N28" i="3" s="1"/>
  <c r="H23" i="3"/>
  <c r="C29" i="3"/>
  <c r="E29" i="3"/>
  <c r="N23" i="3" l="1"/>
  <c r="N25" i="3" s="1"/>
  <c r="N26" i="3" s="1"/>
  <c r="N29" i="3" s="1"/>
  <c r="N30" i="3" s="1"/>
  <c r="N31" i="3" s="1"/>
  <c r="U6" i="3"/>
  <c r="O18" i="3"/>
  <c r="O19" i="3" s="1"/>
  <c r="O20" i="3" s="1"/>
  <c r="Q10" i="3"/>
  <c r="Q11" i="3" s="1"/>
  <c r="Q12" i="3" s="1"/>
  <c r="Q13" i="3" s="1"/>
  <c r="Q14" i="3" s="1"/>
  <c r="Q15" i="3" s="1"/>
  <c r="Q16" i="3" s="1"/>
  <c r="Q17" i="3" s="1"/>
  <c r="Q18" i="3" s="1"/>
  <c r="N9" i="3"/>
  <c r="N11" i="3" s="1"/>
  <c r="M11" i="2"/>
  <c r="M10" i="2"/>
  <c r="M9" i="2"/>
  <c r="O9" i="2" s="1"/>
  <c r="M8" i="2"/>
  <c r="M7" i="2"/>
  <c r="O24" i="3" l="1"/>
  <c r="O21" i="3"/>
  <c r="O22" i="3" s="1"/>
  <c r="O23" i="3" s="1"/>
  <c r="O27" i="3"/>
  <c r="O28" i="3" s="1"/>
  <c r="L9" i="3"/>
  <c r="L11" i="3" s="1"/>
  <c r="N12" i="3"/>
  <c r="E34" i="3" s="1"/>
  <c r="N13" i="3"/>
  <c r="O25" i="3" l="1"/>
  <c r="O26" i="3" s="1"/>
  <c r="O29" i="3" s="1"/>
  <c r="O30" i="3" s="1"/>
  <c r="O31" i="3" s="1"/>
  <c r="O33" i="3" s="1"/>
  <c r="N32" i="3"/>
  <c r="N33" i="3"/>
  <c r="O12" i="3"/>
  <c r="G34" i="3" s="1"/>
  <c r="L12" i="3"/>
  <c r="C34" i="3" s="1"/>
  <c r="L13" i="3"/>
  <c r="T7" i="3" l="1"/>
  <c r="C30" i="3"/>
  <c r="D30" i="3" s="1"/>
  <c r="O32" i="3"/>
  <c r="O34" i="3" s="1"/>
  <c r="N34" i="3"/>
  <c r="M12" i="3"/>
  <c r="D34" i="3" s="1"/>
  <c r="V9" i="3"/>
  <c r="U9" i="3" s="1"/>
  <c r="C31" i="3" l="1"/>
  <c r="D31" i="3" s="1"/>
  <c r="V10" i="3"/>
  <c r="V11" i="3" s="1"/>
  <c r="E31" i="3"/>
  <c r="G31" i="3" s="1"/>
  <c r="E30" i="3"/>
  <c r="G30" i="3" s="1"/>
  <c r="V12" i="3" l="1"/>
  <c r="U10" i="3"/>
  <c r="U12" i="3" l="1"/>
  <c r="U11" i="3"/>
  <c r="V14" i="3"/>
  <c r="V16" i="3" l="1"/>
  <c r="V17" i="3" s="1"/>
  <c r="U13" i="3"/>
  <c r="V15" i="3" l="1"/>
  <c r="U14" i="3"/>
  <c r="V18" i="3" l="1"/>
  <c r="U17" i="3"/>
  <c r="U15" i="3"/>
  <c r="U16" i="3"/>
  <c r="V19" i="3" l="1"/>
  <c r="U18" i="3"/>
  <c r="C32" i="3"/>
  <c r="D32" i="3" s="1"/>
  <c r="C26" i="3"/>
  <c r="M12" i="2"/>
  <c r="C33" i="3" l="1"/>
  <c r="D33" i="3" s="1"/>
  <c r="U19" i="3"/>
  <c r="V20" i="3"/>
  <c r="U20" i="3" s="1"/>
  <c r="V22" i="3" l="1"/>
  <c r="U21" i="3" l="1"/>
  <c r="V24" i="3" l="1"/>
  <c r="V25" i="3" s="1"/>
  <c r="V29" i="3" s="1"/>
  <c r="V23" i="3"/>
  <c r="U22" i="3"/>
  <c r="V30" i="3" l="1"/>
  <c r="U24" i="3"/>
  <c r="U23" i="3"/>
  <c r="U25" i="3" l="1"/>
  <c r="J38" i="2"/>
  <c r="J37" i="2" s="1"/>
  <c r="C25" i="3"/>
  <c r="D25" i="3" s="1"/>
  <c r="E25" i="3"/>
  <c r="J60" i="2"/>
  <c r="J59" i="2" s="1"/>
  <c r="O10" i="2"/>
  <c r="H25" i="3" l="1"/>
  <c r="U29" i="3"/>
  <c r="U30" i="3"/>
  <c r="F25" i="3"/>
  <c r="G25" i="3" s="1"/>
  <c r="R60" i="2"/>
  <c r="R59" i="2" s="1"/>
  <c r="J39" i="2"/>
  <c r="K38" i="2"/>
  <c r="E33" i="3" l="1"/>
  <c r="G33" i="3" s="1"/>
  <c r="E32" i="3"/>
  <c r="G32" i="3" s="1"/>
  <c r="M13" i="2"/>
  <c r="M38" i="2" s="1"/>
  <c r="P38" i="2" s="1"/>
  <c r="N38" i="2"/>
  <c r="Q38" i="2" s="1"/>
  <c r="L38" i="2"/>
  <c r="O38" i="2" s="1"/>
  <c r="J36" i="2"/>
  <c r="K37" i="2"/>
  <c r="J40" i="2"/>
  <c r="K39" i="2"/>
  <c r="L39" i="2" l="1"/>
  <c r="O39" i="2" s="1"/>
  <c r="N39" i="2"/>
  <c r="Q39" i="2" s="1"/>
  <c r="M39" i="2"/>
  <c r="P39" i="2" s="1"/>
  <c r="J41" i="2"/>
  <c r="K40" i="2"/>
  <c r="N37" i="2"/>
  <c r="Q37" i="2" s="1"/>
  <c r="L37" i="2"/>
  <c r="O37" i="2" s="1"/>
  <c r="M37" i="2"/>
  <c r="P37" i="2" s="1"/>
  <c r="K36" i="2"/>
  <c r="J35" i="2"/>
  <c r="J34" i="2" l="1"/>
  <c r="K35" i="2"/>
  <c r="L36" i="2"/>
  <c r="O36" i="2" s="1"/>
  <c r="N36" i="2"/>
  <c r="Q36" i="2" s="1"/>
  <c r="M36" i="2"/>
  <c r="P36" i="2" s="1"/>
  <c r="L40" i="2"/>
  <c r="O40" i="2" s="1"/>
  <c r="N40" i="2"/>
  <c r="Q40" i="2" s="1"/>
  <c r="M40" i="2"/>
  <c r="P40" i="2" s="1"/>
  <c r="J42" i="2"/>
  <c r="K41" i="2"/>
  <c r="M41" i="2" l="1"/>
  <c r="P41" i="2" s="1"/>
  <c r="L41" i="2"/>
  <c r="O41" i="2" s="1"/>
  <c r="N41" i="2"/>
  <c r="Q41" i="2" s="1"/>
  <c r="K42" i="2"/>
  <c r="J43" i="2"/>
  <c r="M35" i="2"/>
  <c r="P35" i="2" s="1"/>
  <c r="L35" i="2"/>
  <c r="O35" i="2" s="1"/>
  <c r="N35" i="2"/>
  <c r="Q35" i="2" s="1"/>
  <c r="J33" i="2"/>
  <c r="K34" i="2"/>
  <c r="N34" i="2" l="1"/>
  <c r="Q34" i="2" s="1"/>
  <c r="L34" i="2"/>
  <c r="O34" i="2" s="1"/>
  <c r="M34" i="2"/>
  <c r="P34" i="2" s="1"/>
  <c r="J32" i="2"/>
  <c r="K33" i="2"/>
  <c r="J44" i="2"/>
  <c r="K43" i="2"/>
  <c r="N42" i="2"/>
  <c r="Q42" i="2" s="1"/>
  <c r="L42" i="2"/>
  <c r="O42" i="2" s="1"/>
  <c r="M42" i="2"/>
  <c r="P42" i="2" s="1"/>
  <c r="L43" i="2" l="1"/>
  <c r="O43" i="2" s="1"/>
  <c r="N43" i="2"/>
  <c r="Q43" i="2" s="1"/>
  <c r="M43" i="2"/>
  <c r="P43" i="2" s="1"/>
  <c r="K44" i="2"/>
  <c r="J45" i="2"/>
  <c r="L33" i="2"/>
  <c r="O33" i="2" s="1"/>
  <c r="N33" i="2"/>
  <c r="Q33" i="2" s="1"/>
  <c r="M33" i="2"/>
  <c r="P33" i="2" s="1"/>
  <c r="J31" i="2"/>
  <c r="K32" i="2"/>
  <c r="N32" i="2" l="1"/>
  <c r="Q32" i="2" s="1"/>
  <c r="L32" i="2"/>
  <c r="O32" i="2" s="1"/>
  <c r="M32" i="2"/>
  <c r="P32" i="2" s="1"/>
  <c r="J30" i="2"/>
  <c r="K31" i="2"/>
  <c r="J46" i="2"/>
  <c r="K45" i="2"/>
  <c r="N44" i="2"/>
  <c r="Q44" i="2" s="1"/>
  <c r="L44" i="2"/>
  <c r="O44" i="2" s="1"/>
  <c r="M44" i="2"/>
  <c r="P44" i="2" s="1"/>
  <c r="L45" i="2" l="1"/>
  <c r="O45" i="2" s="1"/>
  <c r="N45" i="2"/>
  <c r="Q45" i="2" s="1"/>
  <c r="M45" i="2"/>
  <c r="P45" i="2" s="1"/>
  <c r="K46" i="2"/>
  <c r="J47" i="2"/>
  <c r="N31" i="2"/>
  <c r="Q31" i="2" s="1"/>
  <c r="L31" i="2"/>
  <c r="O31" i="2" s="1"/>
  <c r="M31" i="2"/>
  <c r="P31" i="2" s="1"/>
  <c r="J29" i="2"/>
  <c r="K30" i="2"/>
  <c r="N30" i="2" l="1"/>
  <c r="Q30" i="2" s="1"/>
  <c r="L30" i="2"/>
  <c r="O30" i="2" s="1"/>
  <c r="M30" i="2"/>
  <c r="P30" i="2" s="1"/>
  <c r="K29" i="2"/>
  <c r="J28" i="2"/>
  <c r="K47" i="2"/>
  <c r="J48" i="2"/>
  <c r="L46" i="2"/>
  <c r="O46" i="2" s="1"/>
  <c r="N46" i="2"/>
  <c r="Q46" i="2" s="1"/>
  <c r="M46" i="2"/>
  <c r="P46" i="2" s="1"/>
  <c r="J49" i="2" l="1"/>
  <c r="K48" i="2"/>
  <c r="N47" i="2"/>
  <c r="Q47" i="2" s="1"/>
  <c r="L47" i="2"/>
  <c r="O47" i="2" s="1"/>
  <c r="M47" i="2"/>
  <c r="P47" i="2" s="1"/>
  <c r="J27" i="2"/>
  <c r="K28" i="2"/>
  <c r="L29" i="2"/>
  <c r="O29" i="2" s="1"/>
  <c r="N29" i="2"/>
  <c r="Q29" i="2" s="1"/>
  <c r="M29" i="2"/>
  <c r="P29" i="2" s="1"/>
  <c r="K27" i="2" l="1"/>
  <c r="J26" i="2"/>
  <c r="L28" i="2"/>
  <c r="O28" i="2" s="1"/>
  <c r="N28" i="2"/>
  <c r="Q28" i="2" s="1"/>
  <c r="M28" i="2"/>
  <c r="P28" i="2" s="1"/>
  <c r="L48" i="2"/>
  <c r="O48" i="2" s="1"/>
  <c r="N48" i="2"/>
  <c r="Q48" i="2" s="1"/>
  <c r="M48" i="2"/>
  <c r="P48" i="2" s="1"/>
  <c r="K49" i="2"/>
  <c r="J50" i="2"/>
  <c r="J51" i="2" l="1"/>
  <c r="K50" i="2"/>
  <c r="L49" i="2"/>
  <c r="O49" i="2" s="1"/>
  <c r="N49" i="2"/>
  <c r="Q49" i="2" s="1"/>
  <c r="M49" i="2"/>
  <c r="P49" i="2" s="1"/>
  <c r="K26" i="2"/>
  <c r="J25" i="2"/>
  <c r="L27" i="2"/>
  <c r="O27" i="2" s="1"/>
  <c r="N27" i="2"/>
  <c r="Q27" i="2" s="1"/>
  <c r="M27" i="2"/>
  <c r="P27" i="2" s="1"/>
  <c r="K25" i="2" l="1"/>
  <c r="J24" i="2"/>
  <c r="N26" i="2"/>
  <c r="Q26" i="2" s="1"/>
  <c r="L26" i="2"/>
  <c r="O26" i="2" s="1"/>
  <c r="M26" i="2"/>
  <c r="P26" i="2" s="1"/>
  <c r="N50" i="2"/>
  <c r="Q50" i="2" s="1"/>
  <c r="L50" i="2"/>
  <c r="O50" i="2" s="1"/>
  <c r="M50" i="2"/>
  <c r="P50" i="2" s="1"/>
  <c r="J52" i="2"/>
  <c r="K51" i="2"/>
  <c r="K52" i="2" l="1"/>
  <c r="J53" i="2"/>
  <c r="L51" i="2"/>
  <c r="O51" i="2" s="1"/>
  <c r="N51" i="2"/>
  <c r="Q51" i="2" s="1"/>
  <c r="M51" i="2"/>
  <c r="P51" i="2" s="1"/>
  <c r="J23" i="2"/>
  <c r="K24" i="2"/>
  <c r="L25" i="2"/>
  <c r="O25" i="2" s="1"/>
  <c r="N25" i="2"/>
  <c r="Q25" i="2" s="1"/>
  <c r="M25" i="2"/>
  <c r="P25" i="2" s="1"/>
  <c r="L24" i="2" l="1"/>
  <c r="O24" i="2" s="1"/>
  <c r="N24" i="2"/>
  <c r="Q24" i="2" s="1"/>
  <c r="M24" i="2"/>
  <c r="P24" i="2" s="1"/>
  <c r="K23" i="2"/>
  <c r="J22" i="2"/>
  <c r="K53" i="2"/>
  <c r="J54" i="2"/>
  <c r="L52" i="2"/>
  <c r="O52" i="2" s="1"/>
  <c r="N52" i="2"/>
  <c r="Q52" i="2" s="1"/>
  <c r="M52" i="2"/>
  <c r="P52" i="2" s="1"/>
  <c r="J55" i="2" l="1"/>
  <c r="K54" i="2"/>
  <c r="N53" i="2"/>
  <c r="Q53" i="2" s="1"/>
  <c r="L53" i="2"/>
  <c r="O53" i="2" s="1"/>
  <c r="M53" i="2"/>
  <c r="P53" i="2" s="1"/>
  <c r="K22" i="2"/>
  <c r="J21" i="2"/>
  <c r="L23" i="2"/>
  <c r="O23" i="2" s="1"/>
  <c r="N23" i="2"/>
  <c r="Q23" i="2" s="1"/>
  <c r="M23" i="2"/>
  <c r="P23" i="2" s="1"/>
  <c r="J20" i="2" l="1"/>
  <c r="K21" i="2"/>
  <c r="N22" i="2"/>
  <c r="Q22" i="2" s="1"/>
  <c r="M22" i="2"/>
  <c r="P22" i="2" s="1"/>
  <c r="L22" i="2"/>
  <c r="O22" i="2" s="1"/>
  <c r="L54" i="2"/>
  <c r="O54" i="2" s="1"/>
  <c r="N54" i="2"/>
  <c r="Q54" i="2" s="1"/>
  <c r="M54" i="2"/>
  <c r="P54" i="2" s="1"/>
  <c r="J56" i="2"/>
  <c r="K55" i="2"/>
  <c r="J57" i="2" l="1"/>
  <c r="K56" i="2"/>
  <c r="L55" i="2"/>
  <c r="O55" i="2" s="1"/>
  <c r="N55" i="2"/>
  <c r="Q55" i="2" s="1"/>
  <c r="M55" i="2"/>
  <c r="P55" i="2" s="1"/>
  <c r="L21" i="2"/>
  <c r="O21" i="2" s="1"/>
  <c r="N21" i="2"/>
  <c r="Q21" i="2" s="1"/>
  <c r="M21" i="2"/>
  <c r="P21" i="2" s="1"/>
  <c r="J19" i="2"/>
  <c r="K20" i="2"/>
  <c r="M56" i="2" l="1"/>
  <c r="P56" i="2" s="1"/>
  <c r="L56" i="2"/>
  <c r="O56" i="2" s="1"/>
  <c r="N56" i="2"/>
  <c r="Q56" i="2" s="1"/>
  <c r="L20" i="2"/>
  <c r="O20" i="2" s="1"/>
  <c r="N20" i="2"/>
  <c r="Q20" i="2" s="1"/>
  <c r="M20" i="2"/>
  <c r="P20" i="2" s="1"/>
  <c r="J18" i="2"/>
  <c r="K18" i="2" s="1"/>
  <c r="K19" i="2"/>
  <c r="J58" i="2"/>
  <c r="K58" i="2" s="1"/>
  <c r="K57" i="2"/>
  <c r="L57" i="2" l="1"/>
  <c r="O57" i="2" s="1"/>
  <c r="N57" i="2"/>
  <c r="Q57" i="2" s="1"/>
  <c r="M57" i="2"/>
  <c r="P57" i="2" s="1"/>
  <c r="L18" i="2"/>
  <c r="O18" i="2" s="1"/>
  <c r="N18" i="2"/>
  <c r="Q18" i="2" s="1"/>
  <c r="M18" i="2"/>
  <c r="P18" i="2" s="1"/>
  <c r="L58" i="2"/>
  <c r="O58" i="2" s="1"/>
  <c r="N58" i="2"/>
  <c r="Q58" i="2" s="1"/>
  <c r="M58" i="2"/>
  <c r="P58" i="2" s="1"/>
  <c r="M19" i="2"/>
  <c r="P19" i="2" s="1"/>
  <c r="L19" i="2"/>
  <c r="O19" i="2" s="1"/>
  <c r="N19" i="2"/>
  <c r="Q19" i="2" s="1"/>
</calcChain>
</file>

<file path=xl/sharedStrings.xml><?xml version="1.0" encoding="utf-8"?>
<sst xmlns="http://schemas.openxmlformats.org/spreadsheetml/2006/main" count="141" uniqueCount="131">
  <si>
    <t>Datum:</t>
  </si>
  <si>
    <t>Uhrzeit UT1:</t>
  </si>
  <si>
    <t>Sextantenablesung:</t>
  </si>
  <si>
    <t>Augeshöhe:</t>
  </si>
  <si>
    <t>Grad</t>
  </si>
  <si>
    <t xml:space="preserve"> nm</t>
  </si>
  <si>
    <t>m</t>
  </si>
  <si>
    <t>UR</t>
  </si>
  <si>
    <t xml:space="preserve">Indexberichtigung Beob. 1: </t>
  </si>
  <si>
    <t xml:space="preserve">Indexberichtigung Beob. 2: </t>
  </si>
  <si>
    <t>h</t>
  </si>
  <si>
    <t xml:space="preserve">Schiffsmittag: </t>
  </si>
  <si>
    <t>U</t>
  </si>
  <si>
    <t>Sextantenablesung :</t>
  </si>
  <si>
    <t>Gesamtbeschickung :</t>
  </si>
  <si>
    <t>Zusatzbeschickung :</t>
  </si>
  <si>
    <t>Indexberichtigung :</t>
  </si>
  <si>
    <t>Bogenmaß :</t>
  </si>
  <si>
    <t>beobachtete Höhe:</t>
  </si>
  <si>
    <t>Grad Minuten :</t>
  </si>
  <si>
    <t>Zeit UT1:</t>
  </si>
  <si>
    <t>Greenwichwinkel Grt:</t>
  </si>
  <si>
    <r>
      <t xml:space="preserve">Deklination </t>
    </r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>:</t>
    </r>
  </si>
  <si>
    <t>LHA:</t>
  </si>
  <si>
    <t xml:space="preserve">Sonnenrand Beob. 1: </t>
  </si>
  <si>
    <t xml:space="preserve">Sonnenrand Beob. 2: </t>
  </si>
  <si>
    <t>beobachtete Höhe h:</t>
  </si>
  <si>
    <t>Bezeichnung</t>
  </si>
  <si>
    <t xml:space="preserve">LHA = </t>
  </si>
  <si>
    <t>Azimut Az:</t>
  </si>
  <si>
    <t>UTC</t>
  </si>
  <si>
    <t xml:space="preserve">plus Tage : </t>
  </si>
  <si>
    <t>F =</t>
  </si>
  <si>
    <t>W =</t>
  </si>
  <si>
    <t>G =</t>
  </si>
  <si>
    <r>
      <rPr>
        <sz val="12"/>
        <color theme="1"/>
        <rFont val="Symbol"/>
        <charset val="2"/>
      </rPr>
      <t>j</t>
    </r>
    <r>
      <rPr>
        <sz val="12"/>
        <color theme="1"/>
        <rFont val="Calibri"/>
        <family val="2"/>
        <charset val="2"/>
        <scheme val="minor"/>
      </rPr>
      <t xml:space="preserve"> =</t>
    </r>
  </si>
  <si>
    <t>z =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</si>
  <si>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"/>
        <family val="2"/>
        <scheme val="minor"/>
      </rPr>
      <t xml:space="preserve"> =</t>
    </r>
  </si>
  <si>
    <t>DD° mm,m'</t>
  </si>
  <si>
    <t>distance made good:</t>
  </si>
  <si>
    <t>course made good:</t>
  </si>
  <si>
    <t xml:space="preserve">LHA' = </t>
  </si>
  <si>
    <t xml:space="preserve">z' = </t>
  </si>
  <si>
    <t>V =</t>
  </si>
  <si>
    <t>h_</t>
  </si>
  <si>
    <r>
      <rPr>
        <sz val="12"/>
        <color theme="1"/>
        <rFont val="Symbol"/>
        <charset val="2"/>
      </rPr>
      <t>q</t>
    </r>
    <r>
      <rPr>
        <sz val="12"/>
        <color theme="1"/>
        <rFont val="Calibri"/>
        <family val="2"/>
        <charset val="2"/>
        <scheme val="minor"/>
      </rPr>
      <t xml:space="preserve"> =</t>
    </r>
  </si>
  <si>
    <r>
      <rPr>
        <sz val="12"/>
        <color theme="1"/>
        <rFont val="Symbol"/>
        <charset val="2"/>
      </rPr>
      <t>l</t>
    </r>
    <r>
      <rPr>
        <sz val="12"/>
        <color theme="1"/>
        <rFont val="Calibri"/>
        <family val="2"/>
        <charset val="2"/>
        <scheme val="minor"/>
      </rPr>
      <t>* =</t>
    </r>
  </si>
  <si>
    <t xml:space="preserve">hs = </t>
  </si>
  <si>
    <t>Ws =</t>
  </si>
  <si>
    <t>Gs =</t>
  </si>
  <si>
    <r>
      <rPr>
        <sz val="12"/>
        <color theme="1"/>
        <rFont val="Symbol"/>
        <charset val="2"/>
      </rPr>
      <t>l</t>
    </r>
    <r>
      <rPr>
        <sz val="12"/>
        <color theme="1"/>
        <rFont val="Calibri (Textkörper)"/>
      </rPr>
      <t xml:space="preserve">s = </t>
    </r>
  </si>
  <si>
    <t>radiant</t>
  </si>
  <si>
    <t>Symbol</t>
  </si>
  <si>
    <t>Obs. 1</t>
  </si>
  <si>
    <t>Obs. 2</t>
  </si>
  <si>
    <t>Parameter</t>
  </si>
  <si>
    <t>P</t>
  </si>
  <si>
    <t>K</t>
  </si>
  <si>
    <t>COP 1</t>
  </si>
  <si>
    <t>COP 2</t>
  </si>
  <si>
    <t>Info for COP 2</t>
  </si>
  <si>
    <t>Position</t>
  </si>
  <si>
    <t>Standort und Versegelung</t>
  </si>
  <si>
    <t>Kennwort:     change</t>
  </si>
  <si>
    <t xml:space="preserve">Breitenbereich: </t>
  </si>
  <si>
    <t>versegelter Kurs:</t>
  </si>
  <si>
    <t>versegelte Strecke s:</t>
  </si>
  <si>
    <t>nm</t>
  </si>
  <si>
    <r>
      <t xml:space="preserve">versegelte Breite </t>
    </r>
    <r>
      <rPr>
        <sz val="12"/>
        <color theme="1"/>
        <rFont val="Symbol"/>
        <charset val="2"/>
      </rPr>
      <t>Dj</t>
    </r>
    <r>
      <rPr>
        <sz val="12"/>
        <color theme="1"/>
        <rFont val="Helvetica Neue"/>
        <family val="2"/>
      </rPr>
      <t>:</t>
    </r>
  </si>
  <si>
    <t xml:space="preserve">Schrittweite Breite: </t>
  </si>
  <si>
    <t>LHA° :</t>
  </si>
  <si>
    <t>LHA°_ :</t>
  </si>
  <si>
    <t>Standortgrafikbereich</t>
  </si>
  <si>
    <t>j</t>
  </si>
  <si>
    <t>lv</t>
  </si>
  <si>
    <r>
      <rPr>
        <sz val="12"/>
        <color theme="1"/>
        <rFont val="Symbol"/>
        <charset val="2"/>
      </rPr>
      <t>t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</si>
  <si>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rPr>
        <sz val="12"/>
        <color theme="1"/>
        <rFont val="Symbol"/>
        <charset val="2"/>
      </rPr>
      <t>j</t>
    </r>
    <r>
      <rPr>
        <sz val="12"/>
        <color theme="1"/>
        <rFont val="Calibri (Textkörper)"/>
      </rPr>
      <t>s =</t>
    </r>
    <r>
      <rPr>
        <sz val="12"/>
        <color theme="1"/>
        <rFont val="Calibri"/>
        <family val="2"/>
        <charset val="2"/>
      </rPr>
      <t xml:space="preserve"> </t>
    </r>
  </si>
  <si>
    <r>
      <t>l</t>
    </r>
    <r>
      <rPr>
        <sz val="12"/>
        <color rgb="FF000000"/>
        <rFont val="Calibri (Textkörper)"/>
      </rPr>
      <t>*s =</t>
    </r>
    <r>
      <rPr>
        <sz val="12"/>
        <color rgb="FF000000"/>
        <rFont val="Symbol"/>
        <charset val="2"/>
      </rPr>
      <t xml:space="preserve"> </t>
    </r>
  </si>
  <si>
    <r>
      <t>versegelte Länge</t>
    </r>
    <r>
      <rPr>
        <sz val="12"/>
        <color theme="1"/>
        <rFont val="Symbol"/>
        <charset val="2"/>
      </rPr>
      <t xml:space="preserve"> Dl</t>
    </r>
    <r>
      <rPr>
        <sz val="12"/>
        <color theme="1"/>
        <rFont val="Helvetica Neue"/>
        <family val="2"/>
      </rPr>
      <t>:</t>
    </r>
  </si>
  <si>
    <r>
      <rPr>
        <sz val="12"/>
        <rFont val="Symbol"/>
        <charset val="2"/>
      </rPr>
      <t>j</t>
    </r>
    <r>
      <rPr>
        <sz val="9"/>
        <rFont val="Calibri"/>
        <family val="2"/>
      </rPr>
      <t>rad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</si>
  <si>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1</t>
    </r>
  </si>
  <si>
    <r>
      <t>P</t>
    </r>
    <r>
      <rPr>
        <sz val="9"/>
        <rFont val="Symbol"/>
        <charset val="2"/>
      </rPr>
      <t>l</t>
    </r>
    <r>
      <rPr>
        <sz val="9"/>
        <rFont val="Helvetica Neue"/>
        <family val="2"/>
      </rPr>
      <t>2</t>
    </r>
  </si>
  <si>
    <r>
      <t>P</t>
    </r>
    <r>
      <rPr>
        <sz val="9"/>
        <rFont val="Symbol"/>
        <charset val="2"/>
      </rPr>
      <t>l</t>
    </r>
    <r>
      <rPr>
        <sz val="9"/>
        <rFont val="Calibri (Textkörper)"/>
      </rPr>
      <t>S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</si>
  <si>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1</t>
    </r>
  </si>
  <si>
    <r>
      <rPr>
        <sz val="12"/>
        <rFont val="Symbol"/>
        <charset val="2"/>
      </rPr>
      <t>l</t>
    </r>
    <r>
      <rPr>
        <sz val="9"/>
        <rFont val="Helvetica Neue"/>
        <family val="2"/>
      </rPr>
      <t>2</t>
    </r>
  </si>
  <si>
    <t>DMG</t>
  </si>
  <si>
    <r>
      <t xml:space="preserve">versegelte </t>
    </r>
    <r>
      <rPr>
        <sz val="14"/>
        <color theme="1"/>
        <rFont val="Symbol"/>
        <charset val="2"/>
      </rPr>
      <t xml:space="preserve">l </t>
    </r>
    <r>
      <rPr>
        <sz val="14"/>
        <color theme="1"/>
        <rFont val="Helvetica Neue"/>
        <family val="2"/>
      </rPr>
      <t>und</t>
    </r>
    <r>
      <rPr>
        <sz val="14"/>
        <color theme="1"/>
        <rFont val="Symbol"/>
        <charset val="2"/>
      </rPr>
      <t xml:space="preserve"> j</t>
    </r>
    <r>
      <rPr>
        <sz val="14"/>
        <color theme="1"/>
        <rFont val="Helvetica Neue"/>
        <family val="2"/>
      </rPr>
      <t xml:space="preserve"> für die Standortgrafik</t>
    </r>
  </si>
  <si>
    <r>
      <t>L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</si>
  <si>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T = </t>
  </si>
  <si>
    <t xml:space="preserve">L = </t>
  </si>
  <si>
    <r>
      <t>𝜛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</si>
  <si>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𝜛 = </t>
  </si>
  <si>
    <t>M =</t>
  </si>
  <si>
    <t xml:space="preserve">e = </t>
  </si>
  <si>
    <r>
      <t>e</t>
    </r>
    <r>
      <rPr>
        <sz val="8"/>
        <color theme="1"/>
        <rFont val="Calibri (Textkörper)"/>
      </rPr>
      <t>rad</t>
    </r>
    <r>
      <rPr>
        <sz val="12"/>
        <color theme="1"/>
        <rFont val="Symbol"/>
        <charset val="2"/>
      </rPr>
      <t xml:space="preserve"> = </t>
    </r>
  </si>
  <si>
    <r>
      <t>g</t>
    </r>
    <r>
      <rPr>
        <sz val="8"/>
        <color theme="1"/>
        <rFont val="Calibri (Textkörper)_x0000_"/>
      </rPr>
      <t>rad</t>
    </r>
    <r>
      <rPr>
        <sz val="12"/>
        <color theme="1"/>
        <rFont val="Calibri"/>
        <family val="2"/>
        <scheme val="minor"/>
      </rPr>
      <t xml:space="preserve"> = </t>
    </r>
  </si>
  <si>
    <t xml:space="preserve">d = </t>
  </si>
  <si>
    <t xml:space="preserve">d° = </t>
  </si>
  <si>
    <t xml:space="preserve">_A1 = </t>
  </si>
  <si>
    <t xml:space="preserve">_A2 = </t>
  </si>
  <si>
    <t xml:space="preserve">_A3 = </t>
  </si>
  <si>
    <t xml:space="preserve">_A4 = </t>
  </si>
  <si>
    <t xml:space="preserve">_B1 = </t>
  </si>
  <si>
    <t xml:space="preserve">_B2 = </t>
  </si>
  <si>
    <t xml:space="preserve">_B3 = </t>
  </si>
  <si>
    <t xml:space="preserve">_B4 = </t>
  </si>
  <si>
    <t>Einstellungen</t>
  </si>
  <si>
    <t>Messung 1</t>
  </si>
  <si>
    <t>Versegelung</t>
  </si>
  <si>
    <t>Messung 2</t>
  </si>
  <si>
    <t>Ergebnis</t>
  </si>
  <si>
    <t>Zusatzinformationen</t>
  </si>
  <si>
    <t>Ephemeridenrechnung</t>
  </si>
  <si>
    <t>Bahnparameter</t>
  </si>
  <si>
    <t>Zusatzbeschickung</t>
  </si>
  <si>
    <t>Beschickung Sextantenablesung</t>
  </si>
  <si>
    <t>gewählt:</t>
  </si>
  <si>
    <t>NAVIGATION</t>
  </si>
  <si>
    <t>Die Methode von Carl Friedrich Gauß</t>
  </si>
  <si>
    <t>Monat</t>
  </si>
  <si>
    <t xml:space="preserve">Grt = </t>
  </si>
  <si>
    <t xml:space="preserve">Grt° = </t>
  </si>
  <si>
    <t xml:space="preserve">C = </t>
  </si>
  <si>
    <t xml:space="preserve">Grt0 = </t>
  </si>
  <si>
    <t xml:space="preserve">Dat ref = </t>
  </si>
  <si>
    <t>Passwort: change</t>
  </si>
  <si>
    <t xml:space="preserve">eigene Standortbreite : </t>
  </si>
  <si>
    <t>Position calculation</t>
  </si>
  <si>
    <t xml:space="preserve"> </t>
  </si>
  <si>
    <t>DD°mm,m'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</si>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</sst>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.0000"/>
    <numFmt numFmtId="165" formatCode="0.000"/>
    <numFmt numFmtId="166" formatCode="0.0"/>
    <numFmt numFmtId="167" formatCode="[$-407]d/\ mmm/;@"/>
    <numFmt numFmtId="168" formatCode="[$-F400]h:mm:ss\ AM/PM"/>
    <numFmt numFmtId="169" formatCode="[$-407]d/\ mmm\ yy;@"/>
    <numFmt numFmtId="170" formatCode="0.000_ ;[Red]\-0.000\ "/>
    <numFmt numFmtId="171" formatCode="0.0000_ ;[Red]\-0.0000\ "/>
    <numFmt numFmtId="172" formatCode="0.00\°"/>
    <numFmt numFmtId="173" formatCode="0\°"/>
    <numFmt numFmtId="174" formatCode="0.000\°"/>
    <numFmt numFmtId="175" formatCode="000\°"/>
    <numFmt numFmtId="176" formatCode="0.00\'"/>
    <numFmt numFmtId="177" formatCode="0.0\'"/>
    <numFmt numFmtId="178" formatCode="0.00\°;[Red]0.00\°"/>
    <numFmt numFmtId="179" formatCode="0.00000"/>
    <numFmt numFmtId="180" formatCode="0.0\°"/>
    <numFmt numFmtId="181" formatCode="#,##0.00\ _€"/>
    <numFmt numFmtId="182" formatCode="0.00_ ;[Red]\-0.00\ "/>
    <numFmt numFmtId="183" formatCode="0.000000"/>
    <numFmt numFmtId="184" formatCode="0.0000E+00"/>
    <numFmt numFmtId="185" formatCode="d/m/yyyy;@"/>
    <numFmt numFmtId="186" formatCode="0.000000000000000"/>
    <numFmt numFmtId="187" formatCode="0.00000000000000"/>
  </numFmts>
  <fonts count="5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ucida Calligraphy Italic"/>
    </font>
    <font>
      <b/>
      <sz val="18"/>
      <color theme="1"/>
      <name val="Lucida Calligraphy Italic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sz val="10"/>
      <color theme="1"/>
      <name val="Helvetica Neue"/>
      <family val="2"/>
    </font>
    <font>
      <sz val="10"/>
      <color rgb="FFC00000"/>
      <name val="Helvetica Neue"/>
      <family val="2"/>
    </font>
    <font>
      <sz val="9"/>
      <color rgb="FFC00000"/>
      <name val="Helvetica Neue"/>
      <family val="2"/>
    </font>
    <font>
      <sz val="12"/>
      <color theme="1"/>
      <name val="Symbol"/>
      <charset val="2"/>
    </font>
    <font>
      <sz val="11"/>
      <color theme="1"/>
      <name val="Symbol"/>
      <charset val="2"/>
    </font>
    <font>
      <b/>
      <sz val="10"/>
      <color rgb="FFFF0000"/>
      <name val="Helvetica Neue"/>
      <family val="2"/>
    </font>
    <font>
      <sz val="11"/>
      <name val="Helvetica Neue"/>
      <family val="2"/>
    </font>
    <font>
      <sz val="11"/>
      <color theme="1"/>
      <name val="Calibri"/>
      <family val="2"/>
      <scheme val="minor"/>
    </font>
    <font>
      <sz val="14"/>
      <color theme="1"/>
      <name val="Helvetica Neue"/>
      <family val="2"/>
    </font>
    <font>
      <b/>
      <sz val="11"/>
      <color theme="1"/>
      <name val="Helvetica Neue"/>
      <family val="2"/>
    </font>
    <font>
      <sz val="10"/>
      <color theme="1"/>
      <name val="Calibri"/>
      <family val="2"/>
      <scheme val="minor"/>
    </font>
    <font>
      <sz val="11"/>
      <color rgb="FFC00000"/>
      <name val="Helvetica Neue"/>
      <family val="2"/>
    </font>
    <font>
      <sz val="10"/>
      <color theme="1"/>
      <name val="Lucida Calligraphy Italic"/>
    </font>
    <font>
      <sz val="12"/>
      <color rgb="FFC00000"/>
      <name val="Helvetica Neue"/>
      <family val="2"/>
    </font>
    <font>
      <sz val="11"/>
      <color theme="1"/>
      <name val="Calibri"/>
      <family val="2"/>
      <charset val="2"/>
      <scheme val="minor"/>
    </font>
    <font>
      <b/>
      <sz val="12"/>
      <color theme="1"/>
      <name val="Helvetica Neue"/>
      <family val="2"/>
    </font>
    <font>
      <sz val="12"/>
      <name val="Helvetica Neue"/>
      <family val="2"/>
    </font>
    <font>
      <sz val="12"/>
      <color theme="1"/>
      <name val="Calibri"/>
      <family val="2"/>
      <charset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Helvetica Neue"/>
      <family val="2"/>
    </font>
    <font>
      <sz val="12"/>
      <color rgb="FF000000"/>
      <name val="Helvetica Neue"/>
      <family val="2"/>
    </font>
    <font>
      <sz val="18"/>
      <color theme="1" tint="0.34998626667073579"/>
      <name val="Lucida Calligraphy Italic"/>
    </font>
    <font>
      <sz val="12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Symbol"/>
      <charset val="2"/>
    </font>
    <font>
      <sz val="12"/>
      <color rgb="FF000000"/>
      <name val="Calibri (Textkörper)"/>
    </font>
    <font>
      <sz val="12"/>
      <color theme="1"/>
      <name val="Calibri"/>
      <family val="2"/>
      <charset val="2"/>
    </font>
    <font>
      <sz val="8"/>
      <color theme="1"/>
      <name val="Calibri (Textkörper)_x0000_"/>
    </font>
    <font>
      <sz val="8"/>
      <color theme="1"/>
      <name val="Calibri (Textkörper)"/>
    </font>
    <font>
      <sz val="12"/>
      <color rgb="FFFF0000"/>
      <name val="Calibri"/>
      <family val="2"/>
      <scheme val="minor"/>
    </font>
    <font>
      <sz val="14"/>
      <color theme="1"/>
      <name val="Symbol"/>
      <charset val="2"/>
    </font>
    <font>
      <sz val="12"/>
      <name val="Symbol"/>
      <charset val="2"/>
    </font>
    <font>
      <sz val="12"/>
      <name val="Calibri"/>
      <family val="2"/>
      <charset val="2"/>
    </font>
    <font>
      <sz val="12"/>
      <name val="Helvetica Neue"/>
      <family val="2"/>
      <charset val="2"/>
    </font>
    <font>
      <sz val="9"/>
      <name val="Helvetica Neue"/>
      <family val="2"/>
      <charset val="2"/>
    </font>
    <font>
      <sz val="12"/>
      <color rgb="FF00B05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B050"/>
      <name val="Helvetica Neue"/>
      <family val="2"/>
    </font>
    <font>
      <sz val="11"/>
      <color rgb="FFFF0000"/>
      <name val="Helvetica Neue"/>
      <family val="2"/>
    </font>
    <font>
      <sz val="11"/>
      <color theme="9" tint="-0.249977111117893"/>
      <name val="Helvetica Neue"/>
      <family val="2"/>
    </font>
    <font>
      <sz val="11"/>
      <color rgb="FF0070C0"/>
      <name val="Helvetica Neue"/>
      <family val="2"/>
    </font>
    <font>
      <sz val="9"/>
      <name val="Calibri"/>
      <family val="2"/>
    </font>
    <font>
      <sz val="9"/>
      <name val="Symbol"/>
      <charset val="2"/>
    </font>
    <font>
      <sz val="9"/>
      <name val="Helvetica Neue"/>
      <family val="2"/>
    </font>
    <font>
      <sz val="9"/>
      <name val="Calibri (Textkörper)"/>
    </font>
    <font>
      <sz val="18"/>
      <color rgb="FFC00000"/>
      <name val="Lucida Calligraphy Italic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 style="thin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medium">
        <color rgb="FFC00000"/>
      </bottom>
      <diagonal/>
    </border>
    <border>
      <left/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hair">
        <color rgb="FFC00000"/>
      </top>
      <bottom style="thin">
        <color rgb="FFC00000"/>
      </bottom>
      <diagonal/>
    </border>
    <border>
      <left style="thin">
        <color rgb="FFC00000"/>
      </left>
      <right/>
      <top style="hair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hair">
        <color rgb="FFC00000"/>
      </bottom>
      <diagonal/>
    </border>
    <border>
      <left/>
      <right/>
      <top style="thin">
        <color rgb="FFC00000"/>
      </top>
      <bottom style="hair">
        <color rgb="FFC0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hair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hair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rgb="FFFFC000"/>
      </right>
      <top/>
      <bottom style="hair">
        <color rgb="FFFFC000"/>
      </bottom>
      <diagonal/>
    </border>
    <border>
      <left style="thin">
        <color rgb="FFFFC000"/>
      </left>
      <right style="medium">
        <color rgb="FFFFC000"/>
      </right>
      <top/>
      <bottom style="hair">
        <color rgb="FFFFC000"/>
      </bottom>
      <diagonal/>
    </border>
    <border>
      <left style="medium">
        <color rgb="FFFFC000"/>
      </left>
      <right style="thin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hair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hair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hair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thin">
        <color theme="7"/>
      </right>
      <top/>
      <bottom style="hair">
        <color theme="7"/>
      </bottom>
      <diagonal/>
    </border>
    <border>
      <left style="thin">
        <color theme="7"/>
      </left>
      <right style="medium">
        <color theme="7"/>
      </right>
      <top/>
      <bottom style="hair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thin">
        <color theme="7"/>
      </right>
      <top style="hair">
        <color theme="7"/>
      </top>
      <bottom/>
      <diagonal/>
    </border>
    <border>
      <left style="thin">
        <color theme="7"/>
      </left>
      <right style="medium">
        <color theme="7"/>
      </right>
      <top style="hair">
        <color theme="7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thin">
        <color rgb="FFC00000"/>
      </right>
      <top/>
      <bottom style="double">
        <color rgb="FFC00000"/>
      </bottom>
      <diagonal/>
    </border>
    <border>
      <left style="thin">
        <color rgb="FFC00000"/>
      </left>
      <right style="medium">
        <color rgb="FFC00000"/>
      </right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hair">
        <color theme="7"/>
      </bottom>
      <diagonal/>
    </border>
    <border>
      <left style="thin">
        <color theme="7"/>
      </left>
      <right/>
      <top style="medium">
        <color theme="7"/>
      </top>
      <bottom style="hair">
        <color theme="7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C00000"/>
      </left>
      <right/>
      <top/>
      <bottom/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2">
    <xf numFmtId="0" fontId="0" fillId="0" borderId="0" xfId="0"/>
    <xf numFmtId="0" fontId="7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" fontId="7" fillId="0" borderId="0" xfId="0" applyNumberFormat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right" vertical="center"/>
      <protection hidden="1"/>
    </xf>
    <xf numFmtId="0" fontId="18" fillId="0" borderId="2" xfId="0" applyFont="1" applyBorder="1" applyAlignment="1" applyProtection="1">
      <alignment horizontal="right" vertical="center"/>
      <protection hidden="1"/>
    </xf>
    <xf numFmtId="173" fontId="6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protection hidden="1"/>
    </xf>
    <xf numFmtId="0" fontId="6" fillId="0" borderId="6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right"/>
      <protection hidden="1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  <protection hidden="1"/>
    </xf>
    <xf numFmtId="165" fontId="20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2" fontId="7" fillId="0" borderId="0" xfId="0" applyNumberFormat="1" applyFont="1" applyProtection="1">
      <protection hidden="1"/>
    </xf>
    <xf numFmtId="0" fontId="7" fillId="0" borderId="39" xfId="0" applyFont="1" applyBorder="1" applyProtection="1">
      <protection hidden="1"/>
    </xf>
    <xf numFmtId="0" fontId="5" fillId="0" borderId="24" xfId="0" applyFont="1" applyBorder="1" applyProtection="1">
      <protection hidden="1"/>
    </xf>
    <xf numFmtId="168" fontId="6" fillId="0" borderId="41" xfId="0" applyNumberFormat="1" applyFont="1" applyBorder="1" applyAlignment="1" applyProtection="1">
      <alignment horizontal="right"/>
      <protection hidden="1"/>
    </xf>
    <xf numFmtId="173" fontId="6" fillId="0" borderId="43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77" fontId="6" fillId="2" borderId="18" xfId="0" applyNumberFormat="1" applyFont="1" applyFill="1" applyBorder="1" applyAlignment="1" applyProtection="1">
      <alignment horizontal="center"/>
      <protection locked="0"/>
    </xf>
    <xf numFmtId="177" fontId="6" fillId="2" borderId="8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right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horizontal="right" vertical="center"/>
      <protection hidden="1"/>
    </xf>
    <xf numFmtId="166" fontId="6" fillId="2" borderId="23" xfId="0" applyNumberFormat="1" applyFont="1" applyFill="1" applyBorder="1" applyAlignment="1" applyProtection="1">
      <alignment horizontal="center"/>
      <protection locked="0"/>
    </xf>
    <xf numFmtId="166" fontId="6" fillId="2" borderId="22" xfId="0" applyNumberFormat="1" applyFont="1" applyFill="1" applyBorder="1" applyAlignment="1" applyProtection="1">
      <alignment horizontal="center"/>
      <protection locked="0"/>
    </xf>
    <xf numFmtId="166" fontId="5" fillId="2" borderId="9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/>
      <protection hidden="1"/>
    </xf>
    <xf numFmtId="0" fontId="14" fillId="0" borderId="2" xfId="0" applyFont="1" applyBorder="1" applyProtection="1">
      <protection hidden="1"/>
    </xf>
    <xf numFmtId="0" fontId="18" fillId="0" borderId="3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7" fontId="15" fillId="0" borderId="0" xfId="0" applyNumberFormat="1" applyFont="1" applyBorder="1" applyAlignment="1" applyProtection="1">
      <alignment horizontal="lef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right"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vertical="center"/>
      <protection hidden="1"/>
    </xf>
    <xf numFmtId="176" fontId="5" fillId="0" borderId="32" xfId="0" applyNumberFormat="1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7" fillId="0" borderId="0" xfId="0" applyNumberFormat="1" applyFont="1" applyProtection="1">
      <protection hidden="1"/>
    </xf>
    <xf numFmtId="173" fontId="6" fillId="0" borderId="50" xfId="0" applyNumberFormat="1" applyFont="1" applyBorder="1" applyProtection="1">
      <protection hidden="1"/>
    </xf>
    <xf numFmtId="173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24" fillId="0" borderId="59" xfId="0" applyFont="1" applyBorder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right"/>
      <protection hidden="1"/>
    </xf>
    <xf numFmtId="178" fontId="7" fillId="0" borderId="0" xfId="0" applyNumberFormat="1" applyFont="1" applyProtection="1">
      <protection hidden="1"/>
    </xf>
    <xf numFmtId="0" fontId="0" fillId="0" borderId="59" xfId="0" applyBorder="1" applyAlignment="1" applyProtection="1">
      <alignment horizontal="right" vertical="center"/>
      <protection hidden="1"/>
    </xf>
    <xf numFmtId="0" fontId="5" fillId="0" borderId="55" xfId="0" applyFont="1" applyBorder="1" applyAlignment="1" applyProtection="1">
      <alignment horizontal="left" vertical="center"/>
      <protection hidden="1"/>
    </xf>
    <xf numFmtId="0" fontId="0" fillId="3" borderId="63" xfId="0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6" fillId="0" borderId="42" xfId="0" applyFont="1" applyBorder="1" applyAlignment="1" applyProtection="1">
      <alignment horizontal="right" vertical="center"/>
      <protection hidden="1"/>
    </xf>
    <xf numFmtId="0" fontId="6" fillId="0" borderId="45" xfId="0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6" fillId="0" borderId="49" xfId="0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173" fontId="23" fillId="0" borderId="1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right" vertical="center"/>
      <protection hidden="1"/>
    </xf>
    <xf numFmtId="170" fontId="5" fillId="0" borderId="3" xfId="0" applyNumberFormat="1" applyFont="1" applyBorder="1" applyAlignment="1" applyProtection="1">
      <alignment horizontal="left" vertical="center"/>
      <protection hidden="1"/>
    </xf>
    <xf numFmtId="175" fontId="5" fillId="0" borderId="2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0" fontId="29" fillId="0" borderId="3" xfId="0" applyNumberFormat="1" applyFont="1" applyBorder="1" applyAlignment="1" applyProtection="1">
      <alignment horizontal="left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right"/>
      <protection hidden="1"/>
    </xf>
    <xf numFmtId="0" fontId="0" fillId="0" borderId="61" xfId="0" applyFill="1" applyBorder="1" applyAlignment="1" applyProtection="1">
      <alignment horizontal="right"/>
      <protection hidden="1"/>
    </xf>
    <xf numFmtId="0" fontId="0" fillId="2" borderId="61" xfId="0" applyFill="1" applyBorder="1" applyAlignment="1" applyProtection="1">
      <alignment horizontal="right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5" fillId="2" borderId="61" xfId="0" applyFont="1" applyFill="1" applyBorder="1" applyAlignment="1" applyProtection="1">
      <alignment horizontal="right"/>
      <protection hidden="1"/>
    </xf>
    <xf numFmtId="0" fontId="35" fillId="0" borderId="63" xfId="0" applyFont="1" applyFill="1" applyBorder="1" applyAlignment="1" applyProtection="1">
      <alignment horizontal="right"/>
      <protection hidden="1"/>
    </xf>
    <xf numFmtId="172" fontId="5" fillId="0" borderId="37" xfId="0" applyNumberFormat="1" applyFont="1" applyBorder="1" applyAlignment="1" applyProtection="1">
      <alignment horizontal="right" vertical="center"/>
      <protection hidden="1"/>
    </xf>
    <xf numFmtId="176" fontId="5" fillId="0" borderId="31" xfId="0" applyNumberFormat="1" applyFont="1" applyBorder="1" applyAlignment="1" applyProtection="1">
      <alignment horizontal="right" vertical="center"/>
      <protection hidden="1"/>
    </xf>
    <xf numFmtId="177" fontId="5" fillId="0" borderId="31" xfId="0" applyNumberFormat="1" applyFont="1" applyBorder="1" applyAlignment="1" applyProtection="1">
      <alignment horizontal="right" vertical="center"/>
      <protection hidden="1"/>
    </xf>
    <xf numFmtId="2" fontId="5" fillId="0" borderId="31" xfId="0" applyNumberFormat="1" applyFont="1" applyBorder="1" applyAlignment="1" applyProtection="1">
      <alignment horizontal="right" vertical="center"/>
      <protection hidden="1"/>
    </xf>
    <xf numFmtId="173" fontId="5" fillId="0" borderId="31" xfId="0" applyNumberFormat="1" applyFont="1" applyBorder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0" borderId="75" xfId="0" applyFont="1" applyBorder="1" applyAlignment="1" applyProtection="1">
      <alignment horizontal="center"/>
      <protection hidden="1"/>
    </xf>
    <xf numFmtId="0" fontId="6" fillId="0" borderId="74" xfId="0" applyFont="1" applyBorder="1" applyAlignment="1" applyProtection="1">
      <alignment horizontal="center"/>
      <protection hidden="1"/>
    </xf>
    <xf numFmtId="0" fontId="6" fillId="0" borderId="80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165" fontId="6" fillId="0" borderId="92" xfId="0" applyNumberFormat="1" applyFont="1" applyBorder="1" applyAlignment="1" applyProtection="1">
      <alignment horizontal="center"/>
      <protection hidden="1"/>
    </xf>
    <xf numFmtId="165" fontId="6" fillId="0" borderId="93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top"/>
      <protection hidden="1"/>
    </xf>
    <xf numFmtId="0" fontId="33" fillId="2" borderId="61" xfId="0" applyFont="1" applyFill="1" applyBorder="1" applyAlignment="1" applyProtection="1">
      <alignment horizontal="right"/>
      <protection hidden="1"/>
    </xf>
    <xf numFmtId="0" fontId="25" fillId="0" borderId="61" xfId="0" applyFont="1" applyFill="1" applyBorder="1" applyAlignment="1" applyProtection="1">
      <alignment horizontal="right"/>
      <protection hidden="1"/>
    </xf>
    <xf numFmtId="0" fontId="35" fillId="0" borderId="61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4" fillId="0" borderId="71" xfId="0" applyFont="1" applyFill="1" applyBorder="1" applyAlignment="1" applyProtection="1">
      <alignment horizontal="right"/>
      <protection hidden="1"/>
    </xf>
    <xf numFmtId="167" fontId="5" fillId="0" borderId="97" xfId="0" applyNumberFormat="1" applyFont="1" applyBorder="1" applyAlignment="1" applyProtection="1">
      <alignment horizontal="center" vertical="center"/>
      <protection hidden="1"/>
    </xf>
    <xf numFmtId="0" fontId="5" fillId="0" borderId="99" xfId="0" applyFont="1" applyFill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02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protection hidden="1"/>
    </xf>
    <xf numFmtId="179" fontId="22" fillId="0" borderId="34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180" fontId="0" fillId="2" borderId="41" xfId="0" applyNumberFormat="1" applyFill="1" applyBorder="1" applyAlignment="1" applyProtection="1">
      <alignment horizontal="center"/>
      <protection locked="0"/>
    </xf>
    <xf numFmtId="17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vertical="center"/>
      <protection hidden="1"/>
    </xf>
    <xf numFmtId="0" fontId="5" fillId="0" borderId="108" xfId="0" applyFont="1" applyBorder="1" applyAlignment="1" applyProtection="1">
      <alignment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10" xfId="0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left" vertical="center"/>
      <protection hidden="1"/>
    </xf>
    <xf numFmtId="174" fontId="5" fillId="0" borderId="110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74" fontId="5" fillId="0" borderId="110" xfId="0" applyNumberFormat="1" applyFont="1" applyFill="1" applyBorder="1" applyAlignment="1" applyProtection="1">
      <alignment horizontal="center" vertical="center"/>
      <protection hidden="1"/>
    </xf>
    <xf numFmtId="0" fontId="5" fillId="0" borderId="109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17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110" xfId="0" applyFont="1" applyBorder="1" applyProtection="1">
      <protection hidden="1"/>
    </xf>
    <xf numFmtId="0" fontId="0" fillId="0" borderId="10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2" xfId="0" applyBorder="1" applyAlignment="1" applyProtection="1">
      <alignment horizontal="right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113" xfId="0" applyBorder="1" applyProtection="1">
      <protection hidden="1"/>
    </xf>
    <xf numFmtId="0" fontId="40" fillId="0" borderId="114" xfId="0" applyFont="1" applyFill="1" applyBorder="1" applyAlignment="1" applyProtection="1">
      <alignment horizontal="center"/>
      <protection hidden="1"/>
    </xf>
    <xf numFmtId="0" fontId="41" fillId="0" borderId="115" xfId="0" applyFont="1" applyFill="1" applyBorder="1" applyAlignment="1" applyProtection="1">
      <alignment horizontal="center"/>
      <protection hidden="1"/>
    </xf>
    <xf numFmtId="0" fontId="42" fillId="0" borderId="115" xfId="0" applyFont="1" applyFill="1" applyBorder="1" applyAlignment="1" applyProtection="1">
      <alignment horizontal="center"/>
      <protection hidden="1"/>
    </xf>
    <xf numFmtId="0" fontId="40" fillId="0" borderId="115" xfId="0" applyFont="1" applyFill="1" applyBorder="1" applyAlignment="1" applyProtection="1">
      <alignment horizontal="center"/>
      <protection hidden="1"/>
    </xf>
    <xf numFmtId="181" fontId="5" fillId="0" borderId="117" xfId="0" applyNumberFormat="1" applyFont="1" applyFill="1" applyBorder="1" applyAlignment="1" applyProtection="1">
      <alignment horizontal="center"/>
      <protection hidden="1"/>
    </xf>
    <xf numFmtId="2" fontId="0" fillId="0" borderId="118" xfId="0" applyNumberFormat="1" applyFont="1" applyBorder="1" applyAlignment="1" applyProtection="1">
      <alignment horizontal="center"/>
      <protection hidden="1"/>
    </xf>
    <xf numFmtId="2" fontId="44" fillId="0" borderId="118" xfId="0" applyNumberFormat="1" applyFont="1" applyFill="1" applyBorder="1" applyAlignment="1" applyProtection="1">
      <alignment horizontal="center"/>
      <protection hidden="1"/>
    </xf>
    <xf numFmtId="2" fontId="38" fillId="0" borderId="118" xfId="0" applyNumberFormat="1" applyFont="1" applyFill="1" applyBorder="1" applyAlignment="1" applyProtection="1">
      <alignment horizontal="center"/>
      <protection hidden="1"/>
    </xf>
    <xf numFmtId="2" fontId="45" fillId="4" borderId="118" xfId="0" applyNumberFormat="1" applyFont="1" applyFill="1" applyBorder="1" applyAlignment="1" applyProtection="1">
      <alignment horizontal="center"/>
      <protection hidden="1"/>
    </xf>
    <xf numFmtId="0" fontId="0" fillId="0" borderId="119" xfId="0" applyFill="1" applyBorder="1" applyProtection="1">
      <protection hidden="1"/>
    </xf>
    <xf numFmtId="181" fontId="6" fillId="0" borderId="120" xfId="0" applyNumberFormat="1" applyFont="1" applyFill="1" applyBorder="1" applyAlignment="1" applyProtection="1">
      <alignment horizontal="center"/>
      <protection hidden="1"/>
    </xf>
    <xf numFmtId="2" fontId="6" fillId="0" borderId="121" xfId="0" applyNumberFormat="1" applyFont="1" applyBorder="1" applyAlignment="1" applyProtection="1">
      <alignment horizontal="center"/>
      <protection hidden="1"/>
    </xf>
    <xf numFmtId="2" fontId="46" fillId="0" borderId="121" xfId="0" applyNumberFormat="1" applyFont="1" applyFill="1" applyBorder="1" applyAlignment="1" applyProtection="1">
      <alignment horizontal="center"/>
      <protection hidden="1"/>
    </xf>
    <xf numFmtId="2" fontId="47" fillId="0" borderId="121" xfId="0" applyNumberFormat="1" applyFont="1" applyFill="1" applyBorder="1" applyAlignment="1" applyProtection="1">
      <alignment horizontal="center"/>
      <protection hidden="1"/>
    </xf>
    <xf numFmtId="2" fontId="48" fillId="4" borderId="121" xfId="0" applyNumberFormat="1" applyFont="1" applyFill="1" applyBorder="1" applyAlignment="1" applyProtection="1">
      <alignment horizontal="center"/>
      <protection hidden="1"/>
    </xf>
    <xf numFmtId="0" fontId="0" fillId="0" borderId="122" xfId="0" applyFill="1" applyBorder="1" applyProtection="1">
      <protection hidden="1"/>
    </xf>
    <xf numFmtId="181" fontId="16" fillId="2" borderId="120" xfId="0" applyNumberFormat="1" applyFont="1" applyFill="1" applyBorder="1" applyAlignment="1" applyProtection="1">
      <alignment horizontal="center"/>
      <protection hidden="1"/>
    </xf>
    <xf numFmtId="2" fontId="6" fillId="2" borderId="121" xfId="0" applyNumberFormat="1" applyFont="1" applyFill="1" applyBorder="1" applyAlignment="1" applyProtection="1">
      <alignment horizontal="center"/>
      <protection hidden="1"/>
    </xf>
    <xf numFmtId="2" fontId="46" fillId="2" borderId="121" xfId="0" applyNumberFormat="1" applyFont="1" applyFill="1" applyBorder="1" applyAlignment="1" applyProtection="1">
      <alignment horizontal="center"/>
      <protection hidden="1"/>
    </xf>
    <xf numFmtId="2" fontId="47" fillId="2" borderId="121" xfId="0" applyNumberFormat="1" applyFont="1" applyFill="1" applyBorder="1" applyAlignment="1" applyProtection="1">
      <alignment horizontal="center"/>
      <protection hidden="1"/>
    </xf>
    <xf numFmtId="2" fontId="48" fillId="2" borderId="121" xfId="0" applyNumberFormat="1" applyFont="1" applyFill="1" applyBorder="1" applyAlignment="1" applyProtection="1">
      <alignment horizontal="center"/>
      <protection hidden="1"/>
    </xf>
    <xf numFmtId="0" fontId="0" fillId="0" borderId="123" xfId="0" applyFill="1" applyBorder="1" applyProtection="1">
      <protection hidden="1"/>
    </xf>
    <xf numFmtId="181" fontId="6" fillId="0" borderId="117" xfId="0" applyNumberFormat="1" applyFont="1" applyFill="1" applyBorder="1" applyAlignment="1" applyProtection="1">
      <alignment horizontal="center"/>
      <protection hidden="1"/>
    </xf>
    <xf numFmtId="182" fontId="6" fillId="0" borderId="118" xfId="0" applyNumberFormat="1" applyFont="1" applyBorder="1" applyAlignment="1" applyProtection="1">
      <alignment horizontal="center"/>
      <protection hidden="1"/>
    </xf>
    <xf numFmtId="0" fontId="6" fillId="0" borderId="118" xfId="0" applyFont="1" applyBorder="1" applyAlignment="1" applyProtection="1">
      <alignment horizontal="center"/>
      <protection hidden="1"/>
    </xf>
    <xf numFmtId="2" fontId="6" fillId="0" borderId="118" xfId="0" applyNumberFormat="1" applyFont="1" applyBorder="1" applyAlignment="1" applyProtection="1">
      <alignment horizontal="center"/>
      <protection hidden="1"/>
    </xf>
    <xf numFmtId="0" fontId="46" fillId="0" borderId="118" xfId="0" applyFont="1" applyFill="1" applyBorder="1" applyAlignment="1" applyProtection="1">
      <alignment horizontal="center"/>
      <protection hidden="1"/>
    </xf>
    <xf numFmtId="0" fontId="47" fillId="0" borderId="118" xfId="0" applyFont="1" applyFill="1" applyBorder="1" applyAlignment="1" applyProtection="1">
      <alignment horizontal="center"/>
      <protection hidden="1"/>
    </xf>
    <xf numFmtId="0" fontId="0" fillId="4" borderId="118" xfId="0" applyFill="1" applyBorder="1" applyProtection="1">
      <protection hidden="1"/>
    </xf>
    <xf numFmtId="2" fontId="49" fillId="0" borderId="119" xfId="0" applyNumberFormat="1" applyFont="1" applyFill="1" applyBorder="1" applyAlignment="1" applyProtection="1">
      <alignment horizontal="center"/>
      <protection hidden="1"/>
    </xf>
    <xf numFmtId="181" fontId="6" fillId="0" borderId="124" xfId="0" applyNumberFormat="1" applyFont="1" applyFill="1" applyBorder="1" applyAlignment="1" applyProtection="1">
      <alignment horizontal="center"/>
      <protection hidden="1"/>
    </xf>
    <xf numFmtId="0" fontId="6" fillId="0" borderId="125" xfId="0" applyFont="1" applyBorder="1" applyAlignment="1" applyProtection="1">
      <alignment horizontal="center"/>
      <protection hidden="1"/>
    </xf>
    <xf numFmtId="2" fontId="6" fillId="0" borderId="125" xfId="0" applyNumberFormat="1" applyFont="1" applyBorder="1" applyAlignment="1" applyProtection="1">
      <alignment horizontal="center"/>
      <protection hidden="1"/>
    </xf>
    <xf numFmtId="0" fontId="46" fillId="0" borderId="125" xfId="0" applyFont="1" applyFill="1" applyBorder="1" applyAlignment="1" applyProtection="1">
      <alignment horizontal="center"/>
      <protection hidden="1"/>
    </xf>
    <xf numFmtId="0" fontId="47" fillId="0" borderId="125" xfId="0" applyFont="1" applyFill="1" applyBorder="1" applyAlignment="1" applyProtection="1">
      <alignment horizontal="center"/>
      <protection hidden="1"/>
    </xf>
    <xf numFmtId="0" fontId="0" fillId="4" borderId="125" xfId="0" applyFill="1" applyBorder="1" applyProtection="1">
      <protection hidden="1"/>
    </xf>
    <xf numFmtId="2" fontId="49" fillId="0" borderId="126" xfId="0" applyNumberFormat="1" applyFont="1" applyFill="1" applyBorder="1" applyAlignment="1" applyProtection="1">
      <alignment horizontal="center"/>
      <protection hidden="1"/>
    </xf>
    <xf numFmtId="0" fontId="23" fillId="0" borderId="115" xfId="0" applyFont="1" applyFill="1" applyBorder="1" applyAlignment="1" applyProtection="1">
      <alignment horizontal="center" vertical="center"/>
      <protection hidden="1"/>
    </xf>
    <xf numFmtId="0" fontId="43" fillId="0" borderId="116" xfId="0" applyFont="1" applyFill="1" applyBorder="1" applyAlignment="1" applyProtection="1">
      <alignment horizontal="center" vertical="center"/>
      <protection hidden="1"/>
    </xf>
    <xf numFmtId="174" fontId="6" fillId="0" borderId="45" xfId="0" applyNumberFormat="1" applyFont="1" applyBorder="1" applyAlignment="1" applyProtection="1">
      <alignment horizontal="right" vertical="center"/>
      <protection hidden="1"/>
    </xf>
    <xf numFmtId="174" fontId="6" fillId="2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72" xfId="0" applyNumberFormat="1" applyFont="1" applyFill="1" applyBorder="1" applyAlignment="1" applyProtection="1">
      <alignment horizontal="right" vertical="center"/>
      <protection hidden="1"/>
    </xf>
    <xf numFmtId="178" fontId="6" fillId="0" borderId="45" xfId="0" applyNumberFormat="1" applyFont="1" applyFill="1" applyBorder="1" applyAlignment="1" applyProtection="1">
      <alignment horizontal="right" vertical="center"/>
      <protection hidden="1"/>
    </xf>
    <xf numFmtId="174" fontId="6" fillId="0" borderId="64" xfId="0" applyNumberFormat="1" applyFont="1" applyFill="1" applyBorder="1" applyAlignment="1" applyProtection="1">
      <alignment horizontal="right" vertical="center"/>
      <protection hidden="1"/>
    </xf>
    <xf numFmtId="171" fontId="13" fillId="0" borderId="26" xfId="0" applyNumberFormat="1" applyFont="1" applyFill="1" applyBorder="1" applyAlignment="1" applyProtection="1">
      <alignment horizontal="right" vertical="center"/>
      <protection hidden="1"/>
    </xf>
    <xf numFmtId="171" fontId="13" fillId="2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2" borderId="62" xfId="0" applyNumberFormat="1" applyFont="1" applyFill="1" applyBorder="1" applyAlignment="1" applyProtection="1">
      <alignment horizontal="right" vertical="center"/>
      <protection hidden="1"/>
    </xf>
    <xf numFmtId="171" fontId="13" fillId="0" borderId="62" xfId="0" applyNumberFormat="1" applyFont="1" applyFill="1" applyBorder="1" applyAlignment="1" applyProtection="1">
      <alignment horizontal="right" vertical="center"/>
      <protection hidden="1"/>
    </xf>
    <xf numFmtId="171" fontId="6" fillId="0" borderId="73" xfId="0" applyNumberFormat="1" applyFont="1" applyFill="1" applyBorder="1" applyAlignment="1" applyProtection="1">
      <alignment horizontal="right" vertical="center"/>
      <protection hidden="1"/>
    </xf>
    <xf numFmtId="178" fontId="0" fillId="0" borderId="60" xfId="0" applyNumberFormat="1" applyBorder="1" applyAlignment="1" applyProtection="1">
      <alignment horizontal="right" vertical="center"/>
      <protection hidden="1"/>
    </xf>
    <xf numFmtId="171" fontId="26" fillId="0" borderId="26" xfId="0" applyNumberFormat="1" applyFont="1" applyFill="1" applyBorder="1" applyAlignment="1" applyProtection="1">
      <alignment horizontal="right" vertical="center"/>
      <protection hidden="1"/>
    </xf>
    <xf numFmtId="178" fontId="0" fillId="3" borderId="64" xfId="0" applyNumberFormat="1" applyFill="1" applyBorder="1" applyAlignment="1" applyProtection="1">
      <alignment horizontal="right" vertical="center"/>
      <protection hidden="1"/>
    </xf>
    <xf numFmtId="171" fontId="26" fillId="3" borderId="27" xfId="0" applyNumberFormat="1" applyFont="1" applyFill="1" applyBorder="1" applyAlignment="1" applyProtection="1">
      <alignment horizontal="right" vertical="center"/>
      <protection hidden="1"/>
    </xf>
    <xf numFmtId="165" fontId="6" fillId="0" borderId="89" xfId="0" applyNumberFormat="1" applyFont="1" applyBorder="1" applyAlignment="1" applyProtection="1">
      <alignment horizontal="right"/>
      <protection hidden="1"/>
    </xf>
    <xf numFmtId="165" fontId="6" fillId="0" borderId="90" xfId="0" applyNumberFormat="1" applyFont="1" applyBorder="1" applyAlignment="1" applyProtection="1">
      <alignment horizontal="right"/>
      <protection hidden="1"/>
    </xf>
    <xf numFmtId="0" fontId="0" fillId="0" borderId="82" xfId="0" applyFont="1" applyBorder="1" applyAlignment="1">
      <alignment horizontal="right"/>
    </xf>
    <xf numFmtId="174" fontId="6" fillId="0" borderId="83" xfId="0" applyNumberFormat="1" applyFont="1" applyBorder="1" applyAlignment="1">
      <alignment horizontal="right"/>
    </xf>
    <xf numFmtId="174" fontId="6" fillId="0" borderId="84" xfId="0" applyNumberFormat="1" applyFont="1" applyBorder="1" applyAlignment="1">
      <alignment horizontal="right"/>
    </xf>
    <xf numFmtId="164" fontId="6" fillId="0" borderId="83" xfId="0" applyNumberFormat="1" applyFont="1" applyBorder="1" applyAlignment="1">
      <alignment horizontal="right"/>
    </xf>
    <xf numFmtId="164" fontId="6" fillId="0" borderId="84" xfId="0" applyNumberFormat="1" applyFont="1" applyBorder="1" applyAlignment="1">
      <alignment horizontal="right"/>
    </xf>
    <xf numFmtId="0" fontId="10" fillId="0" borderId="82" xfId="0" applyFont="1" applyBorder="1" applyAlignment="1">
      <alignment horizontal="right"/>
    </xf>
    <xf numFmtId="0" fontId="10" fillId="0" borderId="94" xfId="0" applyFont="1" applyBorder="1" applyAlignment="1">
      <alignment horizontal="right"/>
    </xf>
    <xf numFmtId="164" fontId="6" fillId="0" borderId="95" xfId="0" applyNumberFormat="1" applyFont="1" applyBorder="1" applyAlignment="1">
      <alignment horizontal="right"/>
    </xf>
    <xf numFmtId="164" fontId="6" fillId="0" borderId="96" xfId="0" applyNumberFormat="1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164" fontId="6" fillId="0" borderId="86" xfId="0" applyNumberFormat="1" applyFont="1" applyBorder="1" applyAlignment="1">
      <alignment horizontal="right"/>
    </xf>
    <xf numFmtId="164" fontId="6" fillId="0" borderId="87" xfId="0" applyNumberFormat="1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10" fillId="0" borderId="85" xfId="0" applyFont="1" applyBorder="1" applyAlignment="1">
      <alignment horizontal="right"/>
    </xf>
    <xf numFmtId="164" fontId="16" fillId="0" borderId="86" xfId="0" applyNumberFormat="1" applyFont="1" applyBorder="1" applyAlignment="1">
      <alignment horizontal="right"/>
    </xf>
    <xf numFmtId="164" fontId="16" fillId="0" borderId="87" xfId="0" applyNumberFormat="1" applyFont="1" applyBorder="1" applyAlignment="1">
      <alignment horizontal="right"/>
    </xf>
    <xf numFmtId="0" fontId="6" fillId="0" borderId="78" xfId="0" applyFont="1" applyBorder="1" applyAlignment="1">
      <alignment horizontal="right" vertical="center"/>
    </xf>
    <xf numFmtId="183" fontId="6" fillId="0" borderId="79" xfId="0" applyNumberFormat="1" applyFont="1" applyBorder="1" applyAlignment="1">
      <alignment horizontal="right"/>
    </xf>
    <xf numFmtId="0" fontId="6" fillId="0" borderId="74" xfId="0" applyFont="1" applyBorder="1" applyAlignment="1">
      <alignment horizontal="right" vertical="center"/>
    </xf>
    <xf numFmtId="183" fontId="6" fillId="0" borderId="75" xfId="0" applyNumberFormat="1" applyFont="1" applyBorder="1" applyAlignment="1">
      <alignment horizontal="right"/>
    </xf>
    <xf numFmtId="0" fontId="6" fillId="0" borderId="74" xfId="0" applyFont="1" applyBorder="1" applyAlignment="1" applyProtection="1">
      <alignment horizontal="right" vertical="center"/>
      <protection hidden="1"/>
    </xf>
    <xf numFmtId="0" fontId="6" fillId="0" borderId="75" xfId="0" applyFont="1" applyBorder="1" applyAlignment="1" applyProtection="1">
      <alignment horizontal="right"/>
      <protection hidden="1"/>
    </xf>
    <xf numFmtId="184" fontId="6" fillId="0" borderId="75" xfId="0" applyNumberFormat="1" applyFont="1" applyBorder="1" applyAlignment="1">
      <alignment horizontal="right"/>
    </xf>
    <xf numFmtId="0" fontId="0" fillId="0" borderId="88" xfId="0" applyFont="1" applyBorder="1" applyAlignment="1" applyProtection="1">
      <alignment horizontal="right"/>
      <protection hidden="1"/>
    </xf>
    <xf numFmtId="0" fontId="6" fillId="0" borderId="91" xfId="0" applyFont="1" applyBorder="1" applyAlignment="1" applyProtection="1">
      <alignment horizontal="center"/>
      <protection hidden="1"/>
    </xf>
    <xf numFmtId="0" fontId="6" fillId="0" borderId="76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right"/>
      <protection hidden="1"/>
    </xf>
    <xf numFmtId="177" fontId="6" fillId="0" borderId="12" xfId="0" applyNumberFormat="1" applyFont="1" applyBorder="1" applyAlignment="1" applyProtection="1">
      <alignment horizontal="right"/>
      <protection hidden="1"/>
    </xf>
    <xf numFmtId="0" fontId="6" fillId="0" borderId="16" xfId="0" applyFont="1" applyBorder="1" applyAlignment="1" applyProtection="1">
      <alignment horizontal="right"/>
      <protection hidden="1"/>
    </xf>
    <xf numFmtId="177" fontId="6" fillId="0" borderId="17" xfId="0" applyNumberFormat="1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right"/>
      <protection hidden="1"/>
    </xf>
    <xf numFmtId="177" fontId="6" fillId="0" borderId="14" xfId="0" applyNumberFormat="1" applyFont="1" applyBorder="1" applyAlignment="1" applyProtection="1">
      <alignment horizontal="right"/>
      <protection hidden="1"/>
    </xf>
    <xf numFmtId="178" fontId="6" fillId="0" borderId="90" xfId="0" applyNumberFormat="1" applyFont="1" applyBorder="1" applyAlignment="1">
      <alignment horizontal="right"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87" xfId="0" applyNumberFormat="1" applyFont="1" applyBorder="1" applyAlignment="1">
      <alignment horizontal="right" vertical="center"/>
    </xf>
    <xf numFmtId="185" fontId="16" fillId="0" borderId="77" xfId="0" applyNumberFormat="1" applyFont="1" applyBorder="1" applyAlignment="1">
      <alignment horizontal="center" vertical="center"/>
    </xf>
    <xf numFmtId="0" fontId="3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76" fontId="6" fillId="0" borderId="44" xfId="0" applyNumberFormat="1" applyFont="1" applyBorder="1" applyAlignment="1" applyProtection="1">
      <alignment horizontal="center"/>
      <protection hidden="1"/>
    </xf>
    <xf numFmtId="176" fontId="6" fillId="0" borderId="48" xfId="0" applyNumberFormat="1" applyFont="1" applyBorder="1" applyAlignment="1" applyProtection="1">
      <alignment horizontal="center"/>
      <protection hidden="1"/>
    </xf>
    <xf numFmtId="176" fontId="0" fillId="0" borderId="48" xfId="0" applyNumberFormat="1" applyBorder="1" applyAlignment="1" applyProtection="1">
      <alignment horizontal="center"/>
      <protection hidden="1"/>
    </xf>
    <xf numFmtId="176" fontId="6" fillId="0" borderId="52" xfId="0" applyNumberFormat="1" applyFont="1" applyBorder="1" applyAlignment="1" applyProtection="1">
      <alignment horizontal="center"/>
      <protection hidden="1"/>
    </xf>
    <xf numFmtId="176" fontId="6" fillId="0" borderId="43" xfId="0" applyNumberFormat="1" applyFont="1" applyBorder="1" applyAlignment="1" applyProtection="1">
      <alignment horizontal="center"/>
      <protection hidden="1"/>
    </xf>
    <xf numFmtId="176" fontId="6" fillId="0" borderId="46" xfId="0" applyNumberFormat="1" applyFont="1" applyBorder="1" applyAlignment="1" applyProtection="1">
      <alignment horizontal="center"/>
      <protection hidden="1"/>
    </xf>
    <xf numFmtId="176" fontId="6" fillId="0" borderId="50" xfId="0" applyNumberFormat="1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 vertical="center"/>
      <protection hidden="1"/>
    </xf>
    <xf numFmtId="186" fontId="0" fillId="0" borderId="0" xfId="0" applyNumberFormat="1"/>
    <xf numFmtId="2" fontId="6" fillId="0" borderId="0" xfId="0" applyNumberFormat="1" applyFont="1"/>
    <xf numFmtId="187" fontId="0" fillId="0" borderId="0" xfId="0" applyNumberFormat="1"/>
    <xf numFmtId="164" fontId="16" fillId="0" borderId="90" xfId="0" applyNumberFormat="1" applyFont="1" applyBorder="1" applyAlignment="1" applyProtection="1">
      <alignment horizontal="right"/>
      <protection hidden="1"/>
    </xf>
    <xf numFmtId="0" fontId="0" fillId="0" borderId="127" xfId="0" applyFont="1" applyBorder="1" applyAlignment="1">
      <alignment horizontal="right"/>
    </xf>
    <xf numFmtId="164" fontId="6" fillId="0" borderId="128" xfId="0" applyNumberFormat="1" applyFont="1" applyBorder="1" applyAlignment="1">
      <alignment horizontal="right"/>
    </xf>
    <xf numFmtId="0" fontId="0" fillId="0" borderId="0" xfId="0" applyFont="1" applyProtection="1">
      <protection hidden="1"/>
    </xf>
    <xf numFmtId="173" fontId="5" fillId="2" borderId="129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Protection="1">
      <protection hidden="1"/>
    </xf>
    <xf numFmtId="168" fontId="28" fillId="0" borderId="0" xfId="0" applyNumberFormat="1" applyFont="1" applyBorder="1" applyAlignment="1" applyProtection="1">
      <protection hidden="1"/>
    </xf>
    <xf numFmtId="0" fontId="32" fillId="0" borderId="2" xfId="0" applyFont="1" applyBorder="1" applyAlignment="1" applyProtection="1">
      <alignment horizontal="right" vertical="center"/>
      <protection hidden="1"/>
    </xf>
    <xf numFmtId="0" fontId="32" fillId="0" borderId="3" xfId="0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182" fontId="0" fillId="0" borderId="0" xfId="0" applyNumberFormat="1"/>
    <xf numFmtId="171" fontId="0" fillId="0" borderId="0" xfId="0" applyNumberFormat="1"/>
    <xf numFmtId="171" fontId="13" fillId="0" borderId="27" xfId="0" applyNumberFormat="1" applyFont="1" applyFill="1" applyBorder="1" applyAlignment="1" applyProtection="1">
      <alignment horizontal="right" vertical="center"/>
      <protection hidden="1"/>
    </xf>
    <xf numFmtId="0" fontId="55" fillId="0" borderId="0" xfId="0" applyFont="1"/>
    <xf numFmtId="0" fontId="6" fillId="0" borderId="0" xfId="0" applyFont="1" applyFill="1" applyBorder="1" applyAlignment="1" applyProtection="1">
      <alignment vertical="center"/>
      <protection hidden="1"/>
    </xf>
    <xf numFmtId="0" fontId="14" fillId="0" borderId="0" xfId="0" applyFont="1"/>
    <xf numFmtId="0" fontId="15" fillId="0" borderId="13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166" fontId="5" fillId="2" borderId="41" xfId="0" applyNumberFormat="1" applyFont="1" applyFill="1" applyBorder="1" applyAlignment="1" applyProtection="1">
      <alignment horizontal="right" vertical="center"/>
      <protection locked="0"/>
    </xf>
    <xf numFmtId="0" fontId="6" fillId="2" borderId="130" xfId="0" applyFont="1" applyFill="1" applyBorder="1" applyAlignment="1" applyProtection="1">
      <alignment horizontal="left" vertical="center"/>
      <protection locked="0"/>
    </xf>
    <xf numFmtId="173" fontId="6" fillId="0" borderId="51" xfId="0" applyNumberFormat="1" applyFont="1" applyBorder="1" applyAlignment="1" applyProtection="1">
      <alignment horizontal="right"/>
      <protection hidden="1"/>
    </xf>
    <xf numFmtId="173" fontId="6" fillId="0" borderId="50" xfId="0" applyNumberFormat="1" applyFont="1" applyBorder="1" applyAlignment="1" applyProtection="1">
      <alignment horizontal="right"/>
      <protection hidden="1"/>
    </xf>
    <xf numFmtId="168" fontId="18" fillId="0" borderId="5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right"/>
      <protection hidden="1"/>
    </xf>
    <xf numFmtId="0" fontId="6" fillId="0" borderId="19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right"/>
      <protection hidden="1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3" xfId="0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hidden="1"/>
    </xf>
    <xf numFmtId="169" fontId="6" fillId="0" borderId="3" xfId="0" applyNumberFormat="1" applyFont="1" applyFill="1" applyBorder="1" applyAlignment="1" applyProtection="1">
      <alignment horizontal="center" vertical="center"/>
      <protection hidden="1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16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21" xfId="0" applyFont="1" applyBorder="1" applyAlignment="1" applyProtection="1">
      <alignment horizontal="right"/>
      <protection hidden="1"/>
    </xf>
    <xf numFmtId="0" fontId="6" fillId="0" borderId="29" xfId="0" applyFont="1" applyBorder="1" applyAlignment="1" applyProtection="1">
      <alignment horizontal="right"/>
      <protection hidden="1"/>
    </xf>
    <xf numFmtId="168" fontId="6" fillId="0" borderId="1" xfId="0" applyNumberFormat="1" applyFont="1" applyBorder="1" applyAlignment="1" applyProtection="1">
      <alignment horizontal="center"/>
      <protection hidden="1"/>
    </xf>
    <xf numFmtId="168" fontId="6" fillId="0" borderId="2" xfId="0" applyNumberFormat="1" applyFont="1" applyBorder="1" applyAlignment="1" applyProtection="1">
      <alignment horizontal="center"/>
      <protection hidden="1"/>
    </xf>
    <xf numFmtId="168" fontId="6" fillId="0" borderId="3" xfId="0" applyNumberFormat="1" applyFont="1" applyBorder="1" applyAlignment="1" applyProtection="1">
      <alignment horizontal="center"/>
      <protection hidden="1"/>
    </xf>
    <xf numFmtId="173" fontId="6" fillId="0" borderId="47" xfId="0" applyNumberFormat="1" applyFont="1" applyBorder="1" applyAlignment="1" applyProtection="1">
      <alignment horizontal="right"/>
      <protection hidden="1"/>
    </xf>
    <xf numFmtId="173" fontId="6" fillId="0" borderId="46" xfId="0" applyNumberFormat="1" applyFont="1" applyBorder="1" applyAlignment="1" applyProtection="1">
      <alignment horizontal="right"/>
      <protection hidden="1"/>
    </xf>
    <xf numFmtId="0" fontId="22" fillId="0" borderId="98" xfId="0" applyFont="1" applyBorder="1" applyAlignment="1" applyProtection="1">
      <alignment horizontal="center" vertical="center"/>
      <protection hidden="1"/>
    </xf>
    <xf numFmtId="0" fontId="22" fillId="0" borderId="101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horizontal="righ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73" fontId="6" fillId="0" borderId="65" xfId="0" applyNumberFormat="1" applyFont="1" applyBorder="1" applyAlignment="1" applyProtection="1">
      <alignment horizontal="right"/>
      <protection hidden="1"/>
    </xf>
    <xf numFmtId="173" fontId="6" fillId="0" borderId="66" xfId="0" applyNumberFormat="1" applyFont="1" applyBorder="1" applyAlignment="1" applyProtection="1">
      <alignment horizontal="right"/>
      <protection hidden="1"/>
    </xf>
    <xf numFmtId="0" fontId="32" fillId="0" borderId="2" xfId="0" applyFont="1" applyBorder="1" applyAlignment="1" applyProtection="1">
      <alignment horizontal="right" vertical="center"/>
      <protection hidden="1"/>
    </xf>
    <xf numFmtId="0" fontId="32" fillId="0" borderId="3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28" fillId="0" borderId="103" xfId="0" applyFont="1" applyBorder="1" applyAlignment="1" applyProtection="1">
      <alignment horizontal="center" vertical="center"/>
      <protection hidden="1"/>
    </xf>
    <xf numFmtId="0" fontId="28" fillId="0" borderId="104" xfId="0" applyFont="1" applyBorder="1" applyAlignment="1" applyProtection="1">
      <alignment horizontal="center" vertical="center"/>
      <protection hidden="1"/>
    </xf>
    <xf numFmtId="0" fontId="28" fillId="0" borderId="105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right" vertical="center"/>
      <protection hidden="1"/>
    </xf>
    <xf numFmtId="0" fontId="5" fillId="0" borderId="107" xfId="0" applyFont="1" applyBorder="1" applyAlignment="1" applyProtection="1">
      <alignment horizontal="right" vertical="center"/>
      <protection hidden="1"/>
    </xf>
    <xf numFmtId="0" fontId="5" fillId="0" borderId="109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</cellXfs>
  <cellStyles count="17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Standard" xfId="0" builtinId="0"/>
  </cellStyles>
  <dxfs count="0"/>
  <tableStyles count="0" defaultTableStyle="TableStyleMedium9" defaultPivotStyle="PivotStyleMedium7"/>
  <colors>
    <mruColors>
      <color rgb="FFFF9000"/>
      <color rgb="FFFDFAD6"/>
      <color rgb="FFFAFDE0"/>
      <color rgb="FFC05C16"/>
      <color rgb="FFFFA1A3"/>
      <color rgb="FFFF6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Grafik!$O$17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37.505837168333102</c:v>
                </c:pt>
                <c:pt idx="1">
                  <c:v>37.480837168333103</c:v>
                </c:pt>
                <c:pt idx="2">
                  <c:v>37.455837168333105</c:v>
                </c:pt>
                <c:pt idx="3">
                  <c:v>37.430837168333106</c:v>
                </c:pt>
                <c:pt idx="4">
                  <c:v>37.405837168333107</c:v>
                </c:pt>
                <c:pt idx="5">
                  <c:v>37.380837168333109</c:v>
                </c:pt>
                <c:pt idx="6">
                  <c:v>37.35583716833311</c:v>
                </c:pt>
                <c:pt idx="7">
                  <c:v>37.330837168333112</c:v>
                </c:pt>
                <c:pt idx="8">
                  <c:v>37.305837168333113</c:v>
                </c:pt>
                <c:pt idx="9">
                  <c:v>37.280837168333115</c:v>
                </c:pt>
                <c:pt idx="10">
                  <c:v>37.255837168333116</c:v>
                </c:pt>
                <c:pt idx="11">
                  <c:v>37.230837168333117</c:v>
                </c:pt>
                <c:pt idx="12">
                  <c:v>37.205837168333119</c:v>
                </c:pt>
                <c:pt idx="13">
                  <c:v>37.18083716833312</c:v>
                </c:pt>
                <c:pt idx="14">
                  <c:v>37.155837168333122</c:v>
                </c:pt>
                <c:pt idx="15">
                  <c:v>37.130837168333123</c:v>
                </c:pt>
                <c:pt idx="16">
                  <c:v>37.105837168333125</c:v>
                </c:pt>
                <c:pt idx="17">
                  <c:v>37.080837168333126</c:v>
                </c:pt>
                <c:pt idx="18">
                  <c:v>37.055837168333127</c:v>
                </c:pt>
                <c:pt idx="19">
                  <c:v>37.030837168333129</c:v>
                </c:pt>
                <c:pt idx="20">
                  <c:v>37.00583716833313</c:v>
                </c:pt>
                <c:pt idx="21">
                  <c:v>36.980837168333132</c:v>
                </c:pt>
                <c:pt idx="22">
                  <c:v>36.955837168333133</c:v>
                </c:pt>
                <c:pt idx="23">
                  <c:v>36.930837168333134</c:v>
                </c:pt>
                <c:pt idx="24">
                  <c:v>36.905837168333136</c:v>
                </c:pt>
                <c:pt idx="25">
                  <c:v>36.880837168333137</c:v>
                </c:pt>
                <c:pt idx="26">
                  <c:v>36.855837168333139</c:v>
                </c:pt>
                <c:pt idx="27">
                  <c:v>36.83083716833314</c:v>
                </c:pt>
                <c:pt idx="28">
                  <c:v>36.805837168333142</c:v>
                </c:pt>
                <c:pt idx="29">
                  <c:v>36.780837168333143</c:v>
                </c:pt>
                <c:pt idx="30">
                  <c:v>36.755837168333144</c:v>
                </c:pt>
                <c:pt idx="31">
                  <c:v>36.730837168333146</c:v>
                </c:pt>
                <c:pt idx="32">
                  <c:v>36.705837168333147</c:v>
                </c:pt>
                <c:pt idx="33">
                  <c:v>36.680837168333149</c:v>
                </c:pt>
                <c:pt idx="34">
                  <c:v>36.65583716833315</c:v>
                </c:pt>
                <c:pt idx="35">
                  <c:v>36.630837168333152</c:v>
                </c:pt>
                <c:pt idx="36">
                  <c:v>36.605837168333153</c:v>
                </c:pt>
                <c:pt idx="37">
                  <c:v>36.580837168333154</c:v>
                </c:pt>
                <c:pt idx="38">
                  <c:v>36.555837168333156</c:v>
                </c:pt>
                <c:pt idx="39">
                  <c:v>36.530837168333157</c:v>
                </c:pt>
                <c:pt idx="40">
                  <c:v>36.505837168333159</c:v>
                </c:pt>
                <c:pt idx="41">
                  <c:v>36.890367114495206</c:v>
                </c:pt>
                <c:pt idx="42">
                  <c:v>37.121307222171055</c:v>
                </c:pt>
              </c:numCache>
            </c:numRef>
          </c:xVal>
          <c:yVal>
            <c:numRef>
              <c:f>Grafik!$O$18:$O$60</c:f>
              <c:numCache>
                <c:formatCode>0.00</c:formatCode>
                <c:ptCount val="43"/>
                <c:pt idx="0">
                  <c:v>18.495531115483914</c:v>
                </c:pt>
                <c:pt idx="1">
                  <c:v>18.491221780682167</c:v>
                </c:pt>
                <c:pt idx="2">
                  <c:v>18.486930422467935</c:v>
                </c:pt>
                <c:pt idx="3">
                  <c:v>18.482657017678434</c:v>
                </c:pt>
                <c:pt idx="4">
                  <c:v>18.478401543215625</c:v>
                </c:pt>
                <c:pt idx="5">
                  <c:v>18.474163976046498</c:v>
                </c:pt>
                <c:pt idx="6">
                  <c:v>18.469944293202616</c:v>
                </c:pt>
                <c:pt idx="7">
                  <c:v>18.46574247177989</c:v>
                </c:pt>
                <c:pt idx="8">
                  <c:v>18.461558488938579</c:v>
                </c:pt>
                <c:pt idx="9">
                  <c:v>18.45739232190283</c:v>
                </c:pt>
                <c:pt idx="10">
                  <c:v>18.453243947960857</c:v>
                </c:pt>
                <c:pt idx="11">
                  <c:v>18.449113344464365</c:v>
                </c:pt>
                <c:pt idx="12">
                  <c:v>18.445000488828668</c:v>
                </c:pt>
                <c:pt idx="13">
                  <c:v>18.440905358532348</c:v>
                </c:pt>
                <c:pt idx="14">
                  <c:v>18.43682793111708</c:v>
                </c:pt>
                <c:pt idx="15">
                  <c:v>18.43276818418741</c:v>
                </c:pt>
                <c:pt idx="16">
                  <c:v>18.428726095410752</c:v>
                </c:pt>
                <c:pt idx="17">
                  <c:v>18.424701642516936</c:v>
                </c:pt>
                <c:pt idx="18">
                  <c:v>18.420694803298318</c:v>
                </c:pt>
                <c:pt idx="19">
                  <c:v>18.416705555609269</c:v>
                </c:pt>
                <c:pt idx="20">
                  <c:v>18.41273387736635</c:v>
                </c:pt>
                <c:pt idx="21">
                  <c:v>18.40877974654785</c:v>
                </c:pt>
                <c:pt idx="22">
                  <c:v>18.40484314119368</c:v>
                </c:pt>
                <c:pt idx="23">
                  <c:v>18.400924039405311</c:v>
                </c:pt>
                <c:pt idx="24">
                  <c:v>18.397022419345433</c:v>
                </c:pt>
                <c:pt idx="25">
                  <c:v>18.393138259237844</c:v>
                </c:pt>
                <c:pt idx="26">
                  <c:v>18.389271537367392</c:v>
                </c:pt>
                <c:pt idx="27">
                  <c:v>18.385422232079577</c:v>
                </c:pt>
                <c:pt idx="28">
                  <c:v>18.381590321780436</c:v>
                </c:pt>
                <c:pt idx="29">
                  <c:v>18.377775784936489</c:v>
                </c:pt>
                <c:pt idx="30">
                  <c:v>18.373978600074508</c:v>
                </c:pt>
                <c:pt idx="31">
                  <c:v>18.370198745781408</c:v>
                </c:pt>
                <c:pt idx="32">
                  <c:v>18.366436200703731</c:v>
                </c:pt>
                <c:pt idx="33">
                  <c:v>18.362690943547875</c:v>
                </c:pt>
                <c:pt idx="34">
                  <c:v>18.358962953079867</c:v>
                </c:pt>
                <c:pt idx="35">
                  <c:v>18.355252208125023</c:v>
                </c:pt>
                <c:pt idx="36">
                  <c:v>18.351558687567888</c:v>
                </c:pt>
                <c:pt idx="37">
                  <c:v>18.347882370351954</c:v>
                </c:pt>
                <c:pt idx="38">
                  <c:v>18.344223235479603</c:v>
                </c:pt>
                <c:pt idx="39">
                  <c:v>18.340581262012108</c:v>
                </c:pt>
                <c:pt idx="40">
                  <c:v>18.336956429068948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B8-BA4B-B60E-1C15A8AB85BF}"/>
            </c:ext>
          </c:extLst>
        </c:ser>
        <c:ser>
          <c:idx val="0"/>
          <c:order val="1"/>
          <c:tx>
            <c:strRef>
              <c:f>Grafik!$P$17</c:f>
              <c:strCache>
                <c:ptCount val="1"/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37.505837168333102</c:v>
                </c:pt>
                <c:pt idx="1">
                  <c:v>37.480837168333103</c:v>
                </c:pt>
                <c:pt idx="2">
                  <c:v>37.455837168333105</c:v>
                </c:pt>
                <c:pt idx="3">
                  <c:v>37.430837168333106</c:v>
                </c:pt>
                <c:pt idx="4">
                  <c:v>37.405837168333107</c:v>
                </c:pt>
                <c:pt idx="5">
                  <c:v>37.380837168333109</c:v>
                </c:pt>
                <c:pt idx="6">
                  <c:v>37.35583716833311</c:v>
                </c:pt>
                <c:pt idx="7">
                  <c:v>37.330837168333112</c:v>
                </c:pt>
                <c:pt idx="8">
                  <c:v>37.305837168333113</c:v>
                </c:pt>
                <c:pt idx="9">
                  <c:v>37.280837168333115</c:v>
                </c:pt>
                <c:pt idx="10">
                  <c:v>37.255837168333116</c:v>
                </c:pt>
                <c:pt idx="11">
                  <c:v>37.230837168333117</c:v>
                </c:pt>
                <c:pt idx="12">
                  <c:v>37.205837168333119</c:v>
                </c:pt>
                <c:pt idx="13">
                  <c:v>37.18083716833312</c:v>
                </c:pt>
                <c:pt idx="14">
                  <c:v>37.155837168333122</c:v>
                </c:pt>
                <c:pt idx="15">
                  <c:v>37.130837168333123</c:v>
                </c:pt>
                <c:pt idx="16">
                  <c:v>37.105837168333125</c:v>
                </c:pt>
                <c:pt idx="17">
                  <c:v>37.080837168333126</c:v>
                </c:pt>
                <c:pt idx="18">
                  <c:v>37.055837168333127</c:v>
                </c:pt>
                <c:pt idx="19">
                  <c:v>37.030837168333129</c:v>
                </c:pt>
                <c:pt idx="20">
                  <c:v>37.00583716833313</c:v>
                </c:pt>
                <c:pt idx="21">
                  <c:v>36.980837168333132</c:v>
                </c:pt>
                <c:pt idx="22">
                  <c:v>36.955837168333133</c:v>
                </c:pt>
                <c:pt idx="23">
                  <c:v>36.930837168333134</c:v>
                </c:pt>
                <c:pt idx="24">
                  <c:v>36.905837168333136</c:v>
                </c:pt>
                <c:pt idx="25">
                  <c:v>36.880837168333137</c:v>
                </c:pt>
                <c:pt idx="26">
                  <c:v>36.855837168333139</c:v>
                </c:pt>
                <c:pt idx="27">
                  <c:v>36.83083716833314</c:v>
                </c:pt>
                <c:pt idx="28">
                  <c:v>36.805837168333142</c:v>
                </c:pt>
                <c:pt idx="29">
                  <c:v>36.780837168333143</c:v>
                </c:pt>
                <c:pt idx="30">
                  <c:v>36.755837168333144</c:v>
                </c:pt>
                <c:pt idx="31">
                  <c:v>36.730837168333146</c:v>
                </c:pt>
                <c:pt idx="32">
                  <c:v>36.705837168333147</c:v>
                </c:pt>
                <c:pt idx="33">
                  <c:v>36.680837168333149</c:v>
                </c:pt>
                <c:pt idx="34">
                  <c:v>36.65583716833315</c:v>
                </c:pt>
                <c:pt idx="35">
                  <c:v>36.630837168333152</c:v>
                </c:pt>
                <c:pt idx="36">
                  <c:v>36.605837168333153</c:v>
                </c:pt>
                <c:pt idx="37">
                  <c:v>36.580837168333154</c:v>
                </c:pt>
                <c:pt idx="38">
                  <c:v>36.555837168333156</c:v>
                </c:pt>
                <c:pt idx="39">
                  <c:v>36.530837168333157</c:v>
                </c:pt>
                <c:pt idx="40">
                  <c:v>36.505837168333159</c:v>
                </c:pt>
                <c:pt idx="41">
                  <c:v>36.890367114495206</c:v>
                </c:pt>
                <c:pt idx="42">
                  <c:v>37.121307222171055</c:v>
                </c:pt>
              </c:numCache>
            </c:numRef>
          </c:xVal>
          <c:yVal>
            <c:numRef>
              <c:f>Grafik!$P$18:$P$60</c:f>
              <c:numCache>
                <c:formatCode>0.00</c:formatCode>
                <c:ptCount val="43"/>
                <c:pt idx="0">
                  <c:v>19.014215324702377</c:v>
                </c:pt>
                <c:pt idx="1">
                  <c:v>18.960147576215661</c:v>
                </c:pt>
                <c:pt idx="2">
                  <c:v>18.906502161346339</c:v>
                </c:pt>
                <c:pt idx="3">
                  <c:v>18.853271912220237</c:v>
                </c:pt>
                <c:pt idx="4">
                  <c:v>18.800449872469585</c:v>
                </c:pt>
                <c:pt idx="5">
                  <c:v>18.748029288523526</c:v>
                </c:pt>
                <c:pt idx="6">
                  <c:v>18.696003601354107</c:v>
                </c:pt>
                <c:pt idx="7">
                  <c:v>18.644366438651673</c:v>
                </c:pt>
                <c:pt idx="8">
                  <c:v>18.593111607401511</c:v>
                </c:pt>
                <c:pt idx="9">
                  <c:v>18.542233086836632</c:v>
                </c:pt>
                <c:pt idx="10">
                  <c:v>18.49172502174423</c:v>
                </c:pt>
                <c:pt idx="11">
                  <c:v>18.44158171610394</c:v>
                </c:pt>
                <c:pt idx="12">
                  <c:v>18.391797627038329</c:v>
                </c:pt>
                <c:pt idx="13">
                  <c:v>18.342367359056254</c:v>
                </c:pt>
                <c:pt idx="14">
                  <c:v>18.293285658573211</c:v>
                </c:pt>
                <c:pt idx="15">
                  <c:v>18.244547408691233</c:v>
                </c:pt>
                <c:pt idx="16">
                  <c:v>18.196147624224636</c:v>
                </c:pt>
                <c:pt idx="17">
                  <c:v>18.148081446956212</c:v>
                </c:pt>
                <c:pt idx="18">
                  <c:v>18.100344141111918</c:v>
                </c:pt>
                <c:pt idx="19">
                  <c:v>18.052931089043</c:v>
                </c:pt>
                <c:pt idx="20">
                  <c:v>18.005837787099836</c:v>
                </c:pt>
                <c:pt idx="21">
                  <c:v>17.959059841692806</c:v>
                </c:pt>
                <c:pt idx="22">
                  <c:v>17.912592965525846</c:v>
                </c:pt>
                <c:pt idx="23">
                  <c:v>17.86643297399462</c:v>
                </c:pt>
                <c:pt idx="24">
                  <c:v>17.820575781741411</c:v>
                </c:pt>
                <c:pt idx="25">
                  <c:v>17.775017399357125</c:v>
                </c:pt>
                <c:pt idx="26">
                  <c:v>17.729753930224319</c:v>
                </c:pt>
                <c:pt idx="27">
                  <c:v>17.684781567492223</c:v>
                </c:pt>
                <c:pt idx="28">
                  <c:v>17.640096591178292</c:v>
                </c:pt>
                <c:pt idx="29">
                  <c:v>17.595695365389929</c:v>
                </c:pt>
                <c:pt idx="30">
                  <c:v>17.551574335659097</c:v>
                </c:pt>
                <c:pt idx="31">
                  <c:v>17.507730026385559</c:v>
                </c:pt>
                <c:pt idx="32">
                  <c:v>17.464159038383002</c:v>
                </c:pt>
                <c:pt idx="33">
                  <c:v>17.420858046522653</c:v>
                </c:pt>
                <c:pt idx="34">
                  <c:v>17.377823797469659</c:v>
                </c:pt>
                <c:pt idx="35">
                  <c:v>17.335053107508884</c:v>
                </c:pt>
                <c:pt idx="36">
                  <c:v>17.292542860454262</c:v>
                </c:pt>
                <c:pt idx="37">
                  <c:v>17.250290005638874</c:v>
                </c:pt>
                <c:pt idx="38">
                  <c:v>17.208291555981702</c:v>
                </c:pt>
                <c:pt idx="39">
                  <c:v>17.166544586127372</c:v>
                </c:pt>
                <c:pt idx="40">
                  <c:v>17.125046230655641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4B8-BA4B-B60E-1C15A8AB85BF}"/>
            </c:ext>
          </c:extLst>
        </c:ser>
        <c:ser>
          <c:idx val="1"/>
          <c:order val="2"/>
          <c:tx>
            <c:strRef>
              <c:f>Grafik!$Q$17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Grafik!$J$18:$J$60</c:f>
              <c:numCache>
                <c:formatCode>#,##0.00\ _€</c:formatCode>
                <c:ptCount val="43"/>
                <c:pt idx="0">
                  <c:v>37.505837168333102</c:v>
                </c:pt>
                <c:pt idx="1">
                  <c:v>37.480837168333103</c:v>
                </c:pt>
                <c:pt idx="2">
                  <c:v>37.455837168333105</c:v>
                </c:pt>
                <c:pt idx="3">
                  <c:v>37.430837168333106</c:v>
                </c:pt>
                <c:pt idx="4">
                  <c:v>37.405837168333107</c:v>
                </c:pt>
                <c:pt idx="5">
                  <c:v>37.380837168333109</c:v>
                </c:pt>
                <c:pt idx="6">
                  <c:v>37.35583716833311</c:v>
                </c:pt>
                <c:pt idx="7">
                  <c:v>37.330837168333112</c:v>
                </c:pt>
                <c:pt idx="8">
                  <c:v>37.305837168333113</c:v>
                </c:pt>
                <c:pt idx="9">
                  <c:v>37.280837168333115</c:v>
                </c:pt>
                <c:pt idx="10">
                  <c:v>37.255837168333116</c:v>
                </c:pt>
                <c:pt idx="11">
                  <c:v>37.230837168333117</c:v>
                </c:pt>
                <c:pt idx="12">
                  <c:v>37.205837168333119</c:v>
                </c:pt>
                <c:pt idx="13">
                  <c:v>37.18083716833312</c:v>
                </c:pt>
                <c:pt idx="14">
                  <c:v>37.155837168333122</c:v>
                </c:pt>
                <c:pt idx="15">
                  <c:v>37.130837168333123</c:v>
                </c:pt>
                <c:pt idx="16">
                  <c:v>37.105837168333125</c:v>
                </c:pt>
                <c:pt idx="17">
                  <c:v>37.080837168333126</c:v>
                </c:pt>
                <c:pt idx="18">
                  <c:v>37.055837168333127</c:v>
                </c:pt>
                <c:pt idx="19">
                  <c:v>37.030837168333129</c:v>
                </c:pt>
                <c:pt idx="20">
                  <c:v>37.00583716833313</c:v>
                </c:pt>
                <c:pt idx="21">
                  <c:v>36.980837168333132</c:v>
                </c:pt>
                <c:pt idx="22">
                  <c:v>36.955837168333133</c:v>
                </c:pt>
                <c:pt idx="23">
                  <c:v>36.930837168333134</c:v>
                </c:pt>
                <c:pt idx="24">
                  <c:v>36.905837168333136</c:v>
                </c:pt>
                <c:pt idx="25">
                  <c:v>36.880837168333137</c:v>
                </c:pt>
                <c:pt idx="26">
                  <c:v>36.855837168333139</c:v>
                </c:pt>
                <c:pt idx="27">
                  <c:v>36.83083716833314</c:v>
                </c:pt>
                <c:pt idx="28">
                  <c:v>36.805837168333142</c:v>
                </c:pt>
                <c:pt idx="29">
                  <c:v>36.780837168333143</c:v>
                </c:pt>
                <c:pt idx="30">
                  <c:v>36.755837168333144</c:v>
                </c:pt>
                <c:pt idx="31">
                  <c:v>36.730837168333146</c:v>
                </c:pt>
                <c:pt idx="32">
                  <c:v>36.705837168333147</c:v>
                </c:pt>
                <c:pt idx="33">
                  <c:v>36.680837168333149</c:v>
                </c:pt>
                <c:pt idx="34">
                  <c:v>36.65583716833315</c:v>
                </c:pt>
                <c:pt idx="35">
                  <c:v>36.630837168333152</c:v>
                </c:pt>
                <c:pt idx="36">
                  <c:v>36.605837168333153</c:v>
                </c:pt>
                <c:pt idx="37">
                  <c:v>36.580837168333154</c:v>
                </c:pt>
                <c:pt idx="38">
                  <c:v>36.555837168333156</c:v>
                </c:pt>
                <c:pt idx="39">
                  <c:v>36.530837168333157</c:v>
                </c:pt>
                <c:pt idx="40">
                  <c:v>36.505837168333159</c:v>
                </c:pt>
                <c:pt idx="41">
                  <c:v>36.890367114495206</c:v>
                </c:pt>
                <c:pt idx="42">
                  <c:v>37.121307222171055</c:v>
                </c:pt>
              </c:numCache>
            </c:numRef>
          </c:xVal>
          <c:yVal>
            <c:numRef>
              <c:f>Grafik!$Q$18:$Q$60</c:f>
              <c:numCache>
                <c:formatCode>0.00</c:formatCode>
                <c:ptCount val="43"/>
                <c:pt idx="0">
                  <c:v>18.289097625709758</c:v>
                </c:pt>
                <c:pt idx="1">
                  <c:v>18.284871733770672</c:v>
                </c:pt>
                <c:pt idx="2">
                  <c:v>18.280663660025823</c:v>
                </c:pt>
                <c:pt idx="3">
                  <c:v>18.276473381622964</c:v>
                </c:pt>
                <c:pt idx="4">
                  <c:v>18.272300875773738</c:v>
                </c:pt>
                <c:pt idx="5">
                  <c:v>18.268146119753794</c:v>
                </c:pt>
                <c:pt idx="6">
                  <c:v>18.264009090902107</c:v>
                </c:pt>
                <c:pt idx="7">
                  <c:v>18.259889766621313</c:v>
                </c:pt>
                <c:pt idx="8">
                  <c:v>18.255788124377091</c:v>
                </c:pt>
                <c:pt idx="9">
                  <c:v>18.251704141698326</c:v>
                </c:pt>
                <c:pt idx="10">
                  <c:v>18.247637796176548</c:v>
                </c:pt>
                <c:pt idx="11">
                  <c:v>18.243589065465926</c:v>
                </c:pt>
                <c:pt idx="12">
                  <c:v>18.239557927283499</c:v>
                </c:pt>
                <c:pt idx="13">
                  <c:v>18.235544359408095</c:v>
                </c:pt>
                <c:pt idx="14">
                  <c:v>18.231548339681012</c:v>
                </c:pt>
                <c:pt idx="15">
                  <c:v>18.227569846005281</c:v>
                </c:pt>
                <c:pt idx="16">
                  <c:v>18.223608856345834</c:v>
                </c:pt>
                <c:pt idx="17">
                  <c:v>18.219665348729052</c:v>
                </c:pt>
                <c:pt idx="18">
                  <c:v>18.21573930124282</c:v>
                </c:pt>
                <c:pt idx="19">
                  <c:v>18.211830692036074</c:v>
                </c:pt>
                <c:pt idx="20">
                  <c:v>18.207939499319025</c:v>
                </c:pt>
                <c:pt idx="21">
                  <c:v>18.204065701362538</c:v>
                </c:pt>
                <c:pt idx="22">
                  <c:v>18.200209276498242</c:v>
                </c:pt>
                <c:pt idx="23">
                  <c:v>18.196370203118192</c:v>
                </c:pt>
                <c:pt idx="24">
                  <c:v>18.192548459674924</c:v>
                </c:pt>
                <c:pt idx="25">
                  <c:v>18.188744024681057</c:v>
                </c:pt>
                <c:pt idx="26">
                  <c:v>18.18495687670918</c:v>
                </c:pt>
                <c:pt idx="27">
                  <c:v>18.181186994391624</c:v>
                </c:pt>
                <c:pt idx="28">
                  <c:v>18.17743435642052</c:v>
                </c:pt>
                <c:pt idx="29">
                  <c:v>18.1736989415474</c:v>
                </c:pt>
                <c:pt idx="30">
                  <c:v>18.169980728582971</c:v>
                </c:pt>
                <c:pt idx="31">
                  <c:v>18.166279696397282</c:v>
                </c:pt>
                <c:pt idx="32">
                  <c:v>18.162595823919105</c:v>
                </c:pt>
                <c:pt idx="33">
                  <c:v>18.158929090136212</c:v>
                </c:pt>
                <c:pt idx="34">
                  <c:v>18.155279474094925</c:v>
                </c:pt>
                <c:pt idx="35">
                  <c:v>18.151646954899945</c:v>
                </c:pt>
                <c:pt idx="36">
                  <c:v>18.148031511714294</c:v>
                </c:pt>
                <c:pt idx="37">
                  <c:v>18.144433123759143</c:v>
                </c:pt>
                <c:pt idx="38">
                  <c:v>18.140851770313589</c:v>
                </c:pt>
                <c:pt idx="39">
                  <c:v>18.137287430714593</c:v>
                </c:pt>
                <c:pt idx="40">
                  <c:v>18.133740084356646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4B8-BA4B-B60E-1C15A8AB85BF}"/>
            </c:ext>
          </c:extLst>
        </c:ser>
        <c:ser>
          <c:idx val="2"/>
          <c:order val="3"/>
          <c:tx>
            <c:strRef>
              <c:f>Grafik!$R$17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rgbClr val="0070C0"/>
                </a:solidFill>
                <a:round/>
                <a:tailEnd type="stealth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B8-BA4B-B60E-1C15A8AB85BF}"/>
              </c:ext>
            </c:extLst>
          </c:dPt>
          <c:xVal>
            <c:numRef>
              <c:f>Grafik!$J$18:$J$60</c:f>
              <c:numCache>
                <c:formatCode>#,##0.00\ _€</c:formatCode>
                <c:ptCount val="43"/>
                <c:pt idx="0">
                  <c:v>37.505837168333102</c:v>
                </c:pt>
                <c:pt idx="1">
                  <c:v>37.480837168333103</c:v>
                </c:pt>
                <c:pt idx="2">
                  <c:v>37.455837168333105</c:v>
                </c:pt>
                <c:pt idx="3">
                  <c:v>37.430837168333106</c:v>
                </c:pt>
                <c:pt idx="4">
                  <c:v>37.405837168333107</c:v>
                </c:pt>
                <c:pt idx="5">
                  <c:v>37.380837168333109</c:v>
                </c:pt>
                <c:pt idx="6">
                  <c:v>37.35583716833311</c:v>
                </c:pt>
                <c:pt idx="7">
                  <c:v>37.330837168333112</c:v>
                </c:pt>
                <c:pt idx="8">
                  <c:v>37.305837168333113</c:v>
                </c:pt>
                <c:pt idx="9">
                  <c:v>37.280837168333115</c:v>
                </c:pt>
                <c:pt idx="10">
                  <c:v>37.255837168333116</c:v>
                </c:pt>
                <c:pt idx="11">
                  <c:v>37.230837168333117</c:v>
                </c:pt>
                <c:pt idx="12">
                  <c:v>37.205837168333119</c:v>
                </c:pt>
                <c:pt idx="13">
                  <c:v>37.18083716833312</c:v>
                </c:pt>
                <c:pt idx="14">
                  <c:v>37.155837168333122</c:v>
                </c:pt>
                <c:pt idx="15">
                  <c:v>37.130837168333123</c:v>
                </c:pt>
                <c:pt idx="16">
                  <c:v>37.105837168333125</c:v>
                </c:pt>
                <c:pt idx="17">
                  <c:v>37.080837168333126</c:v>
                </c:pt>
                <c:pt idx="18">
                  <c:v>37.055837168333127</c:v>
                </c:pt>
                <c:pt idx="19">
                  <c:v>37.030837168333129</c:v>
                </c:pt>
                <c:pt idx="20">
                  <c:v>37.00583716833313</c:v>
                </c:pt>
                <c:pt idx="21">
                  <c:v>36.980837168333132</c:v>
                </c:pt>
                <c:pt idx="22">
                  <c:v>36.955837168333133</c:v>
                </c:pt>
                <c:pt idx="23">
                  <c:v>36.930837168333134</c:v>
                </c:pt>
                <c:pt idx="24">
                  <c:v>36.905837168333136</c:v>
                </c:pt>
                <c:pt idx="25">
                  <c:v>36.880837168333137</c:v>
                </c:pt>
                <c:pt idx="26">
                  <c:v>36.855837168333139</c:v>
                </c:pt>
                <c:pt idx="27">
                  <c:v>36.83083716833314</c:v>
                </c:pt>
                <c:pt idx="28">
                  <c:v>36.805837168333142</c:v>
                </c:pt>
                <c:pt idx="29">
                  <c:v>36.780837168333143</c:v>
                </c:pt>
                <c:pt idx="30">
                  <c:v>36.755837168333144</c:v>
                </c:pt>
                <c:pt idx="31">
                  <c:v>36.730837168333146</c:v>
                </c:pt>
                <c:pt idx="32">
                  <c:v>36.705837168333147</c:v>
                </c:pt>
                <c:pt idx="33">
                  <c:v>36.680837168333149</c:v>
                </c:pt>
                <c:pt idx="34">
                  <c:v>36.65583716833315</c:v>
                </c:pt>
                <c:pt idx="35">
                  <c:v>36.630837168333152</c:v>
                </c:pt>
                <c:pt idx="36">
                  <c:v>36.605837168333153</c:v>
                </c:pt>
                <c:pt idx="37">
                  <c:v>36.580837168333154</c:v>
                </c:pt>
                <c:pt idx="38">
                  <c:v>36.555837168333156</c:v>
                </c:pt>
                <c:pt idx="39">
                  <c:v>36.530837168333157</c:v>
                </c:pt>
                <c:pt idx="40">
                  <c:v>36.505837168333159</c:v>
                </c:pt>
                <c:pt idx="41">
                  <c:v>36.890367114495206</c:v>
                </c:pt>
                <c:pt idx="42">
                  <c:v>37.121307222171055</c:v>
                </c:pt>
              </c:numCache>
            </c:numRef>
          </c:xVal>
          <c:yVal>
            <c:numRef>
              <c:f>Grafik!$R$18:$R$60</c:f>
              <c:numCache>
                <c:formatCode>General</c:formatCode>
                <c:ptCount val="43"/>
                <c:pt idx="41" formatCode="0.00">
                  <c:v>18.393276443627702</c:v>
                </c:pt>
                <c:pt idx="42" formatCode="0.00">
                  <c:v>18.226057861995091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4B8-BA4B-B60E-1C15A8AB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45856"/>
        <c:axId val="1385133584"/>
      </c:scatterChart>
      <c:valAx>
        <c:axId val="1385045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\°_ ;[Red]\-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133584"/>
        <c:crosses val="autoZero"/>
        <c:crossBetween val="midCat"/>
        <c:majorUnit val="1"/>
        <c:minorUnit val="0.16666600000000001"/>
      </c:valAx>
      <c:valAx>
        <c:axId val="13851335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\°_ ;[Red]\-0.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045856"/>
        <c:crosses val="autoZero"/>
        <c:crossBetween val="midCat"/>
        <c:minorUnit val="0.16666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165099</xdr:colOff>
      <xdr:row>6</xdr:row>
      <xdr:rowOff>12700</xdr:rowOff>
    </xdr:from>
    <xdr:to>
      <xdr:col>7</xdr:col>
      <xdr:colOff>698499</xdr:colOff>
      <xdr:row>33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4F5AAF-3A85-3C4E-A6E4-FED0AF842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0.12198</cdr:x>
      <cdr:y>0.44094</cdr:y>
    </cdr:from>
    <cdr:to>
      <cdr:x>0.22074</cdr:x>
      <cdr:y>0.50065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AF1CB92-EADE-AA44-AC95-56E197A65996}"/>
            </a:ext>
          </a:extLst>
        </cdr:cNvPr>
        <cdr:cNvSpPr txBox="1"/>
      </cdr:nvSpPr>
      <cdr:spPr>
        <a:xfrm xmlns:a="http://schemas.openxmlformats.org/drawingml/2006/main">
          <a:off x="669217" y="2419175"/>
          <a:ext cx="541837" cy="327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S</a:t>
          </a:r>
        </a:p>
      </cdr:txBody>
    </cdr:sp>
  </cdr:relSizeAnchor>
  <cdr:relSizeAnchor xmlns:cdr="http://schemas.openxmlformats.org/drawingml/2006/chartDrawing">
    <cdr:from>
      <cdr:x>0.8634</cdr:x>
      <cdr:y>0.44749</cdr:y>
    </cdr:from>
    <cdr:to>
      <cdr:x>0.96216</cdr:x>
      <cdr:y>0.50721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4736974" y="2455109"/>
          <a:ext cx="541837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N</a:t>
          </a:r>
        </a:p>
      </cdr:txBody>
    </cdr:sp>
  </cdr:relSizeAnchor>
  <cdr:relSizeAnchor xmlns:cdr="http://schemas.openxmlformats.org/drawingml/2006/chartDrawing">
    <cdr:from>
      <cdr:x>0.53941</cdr:x>
      <cdr:y>0.89759</cdr:y>
    </cdr:from>
    <cdr:to>
      <cdr:x>0.63817</cdr:x>
      <cdr:y>0.95731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443" y="4924526"/>
          <a:ext cx="541837" cy="327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E</a:t>
          </a:r>
        </a:p>
      </cdr:txBody>
    </cdr:sp>
  </cdr:relSizeAnchor>
  <cdr:relSizeAnchor xmlns:cdr="http://schemas.openxmlformats.org/drawingml/2006/chartDrawing">
    <cdr:from>
      <cdr:x>0.53944</cdr:x>
      <cdr:y>0.07837</cdr:y>
    </cdr:from>
    <cdr:to>
      <cdr:x>0.6382</cdr:x>
      <cdr:y>0.13809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2959580" y="429969"/>
          <a:ext cx="541836" cy="327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4FE8-4F74-C440-94DB-5AF73CF14EF0}">
  <dimension ref="A1:AJ39"/>
  <sheetViews>
    <sheetView tabSelected="1" zoomScaleNormal="100" workbookViewId="0">
      <selection activeCell="B3" sqref="B3"/>
    </sheetView>
  </sheetViews>
  <sheetFormatPr baseColWidth="10" defaultRowHeight="16"/>
  <cols>
    <col min="1" max="1" width="4.33203125" customWidth="1"/>
    <col min="2" max="2" width="25.1640625" customWidth="1"/>
    <col min="3" max="3" width="7.33203125" customWidth="1"/>
    <col min="4" max="4" width="6.83203125" customWidth="1"/>
    <col min="5" max="5" width="4" customWidth="1"/>
    <col min="6" max="6" width="7" customWidth="1"/>
    <col min="7" max="7" width="8.5" customWidth="1"/>
    <col min="8" max="8" width="7.33203125" customWidth="1"/>
    <col min="9" max="9" width="4.33203125" customWidth="1"/>
    <col min="10" max="15" width="11.83203125" customWidth="1"/>
    <col min="16" max="16" width="4.33203125" customWidth="1"/>
    <col min="19" max="19" width="4.33203125" customWidth="1"/>
    <col min="20" max="23" width="11.83203125" customWidth="1"/>
    <col min="24" max="24" width="16.1640625" customWidth="1"/>
    <col min="26" max="26" width="12.83203125" bestFit="1" customWidth="1"/>
    <col min="31" max="31" width="11.83203125" customWidth="1"/>
  </cols>
  <sheetData>
    <row r="1" spans="1:36">
      <c r="A1" s="4"/>
      <c r="B1" s="4"/>
      <c r="C1" s="4"/>
      <c r="D1" s="4"/>
      <c r="E1" s="4"/>
      <c r="F1" s="4"/>
      <c r="G1" s="4"/>
      <c r="H1" s="16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6" ht="27">
      <c r="A2" s="4"/>
      <c r="B2" s="273" t="s">
        <v>118</v>
      </c>
      <c r="C2" s="6"/>
      <c r="D2" s="6"/>
      <c r="E2" s="4"/>
      <c r="F2" s="4"/>
      <c r="G2" s="4"/>
      <c r="H2" s="4"/>
      <c r="I2" s="1"/>
      <c r="J2" s="138" t="s">
        <v>125</v>
      </c>
      <c r="K2" s="138"/>
      <c r="L2" s="28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>
      <c r="A3" s="4"/>
      <c r="B3" s="4" t="s">
        <v>117</v>
      </c>
      <c r="C3" s="4"/>
      <c r="D3" s="4"/>
      <c r="E3" s="4"/>
      <c r="F3" s="4"/>
      <c r="G3" s="4"/>
      <c r="H3" s="4"/>
      <c r="I3" s="1"/>
      <c r="J3" s="80"/>
      <c r="K3" s="80"/>
      <c r="L3" s="80"/>
      <c r="M3" s="80"/>
      <c r="N3" s="80"/>
      <c r="O3" s="80"/>
      <c r="P3" s="80"/>
      <c r="Q3" s="1"/>
      <c r="R3" s="1"/>
      <c r="S3" s="1"/>
      <c r="U3" s="1"/>
      <c r="V3" s="1"/>
      <c r="W3" s="1"/>
      <c r="X3" s="1"/>
    </row>
    <row r="4" spans="1:36" ht="27">
      <c r="A4" s="4"/>
      <c r="B4" s="4"/>
      <c r="C4" s="4"/>
      <c r="D4" s="104"/>
      <c r="E4" s="4"/>
      <c r="F4" s="105"/>
      <c r="G4" s="105"/>
      <c r="H4" s="4"/>
      <c r="I4" s="1"/>
      <c r="J4" s="1"/>
      <c r="K4" s="1"/>
      <c r="L4" s="1"/>
      <c r="M4" s="1"/>
      <c r="N4" s="1" t="s">
        <v>128</v>
      </c>
      <c r="O4" s="1"/>
      <c r="P4" s="1"/>
      <c r="Q4" s="1"/>
      <c r="R4" s="29"/>
      <c r="S4" s="1"/>
    </row>
    <row r="5" spans="1:36" ht="18" customHeight="1" thickBot="1">
      <c r="A5" s="9"/>
      <c r="B5" s="11" t="s">
        <v>106</v>
      </c>
      <c r="C5" s="54"/>
      <c r="D5" s="55"/>
      <c r="E5" s="55"/>
      <c r="F5" s="19"/>
      <c r="G5" s="19"/>
      <c r="H5" s="81" t="str">
        <f>IF(OR(AND(H6="O",OR(H7="O",H7="U")),AND(H6="U",OR(H7="O",H7="U")))=TRUE," ","ERROR")</f>
        <v xml:space="preserve"> </v>
      </c>
      <c r="I5" s="14"/>
      <c r="J5" s="34" t="s">
        <v>115</v>
      </c>
      <c r="K5" s="14"/>
      <c r="L5" s="14"/>
      <c r="M5" s="14"/>
      <c r="N5" s="14"/>
      <c r="O5" s="14"/>
      <c r="P5" s="14"/>
      <c r="Q5" s="56" t="s">
        <v>114</v>
      </c>
      <c r="R5" s="57"/>
      <c r="S5" s="9"/>
      <c r="T5" s="56" t="s">
        <v>127</v>
      </c>
      <c r="U5" s="9"/>
      <c r="V5" s="72"/>
      <c r="W5" s="72"/>
      <c r="X5" s="72"/>
    </row>
    <row r="6" spans="1:36" ht="18" customHeight="1" thickBot="1">
      <c r="A6" s="4"/>
      <c r="B6" s="26" t="s">
        <v>8</v>
      </c>
      <c r="C6" s="42">
        <v>1.5</v>
      </c>
      <c r="D6" s="304" t="s">
        <v>24</v>
      </c>
      <c r="E6" s="305"/>
      <c r="F6" s="305"/>
      <c r="G6" s="306"/>
      <c r="H6" s="47" t="s">
        <v>12</v>
      </c>
      <c r="I6" s="1"/>
      <c r="J6" s="36"/>
      <c r="K6" s="37"/>
      <c r="L6" s="327" t="s">
        <v>58</v>
      </c>
      <c r="M6" s="328"/>
      <c r="N6" s="327" t="s">
        <v>59</v>
      </c>
      <c r="O6" s="328"/>
      <c r="P6" s="1"/>
      <c r="Q6" s="67" t="s">
        <v>119</v>
      </c>
      <c r="R6" s="68" t="s">
        <v>7</v>
      </c>
      <c r="S6" s="1"/>
      <c r="T6" s="134" t="s">
        <v>56</v>
      </c>
      <c r="U6" s="321" t="str">
        <f>IF(dat_+ot_-(dat+ot)&lt;0,"Error"," ")</f>
        <v xml:space="preserve"> </v>
      </c>
      <c r="V6" s="135" t="s">
        <v>57</v>
      </c>
      <c r="W6" s="72"/>
      <c r="X6" s="72"/>
    </row>
    <row r="7" spans="1:36" ht="18" customHeight="1" thickBot="1">
      <c r="A7" s="4"/>
      <c r="B7" s="27" t="s">
        <v>9</v>
      </c>
      <c r="C7" s="43">
        <v>1.5</v>
      </c>
      <c r="D7" s="313" t="s">
        <v>25</v>
      </c>
      <c r="E7" s="314"/>
      <c r="F7" s="314"/>
      <c r="G7" s="315"/>
      <c r="H7" s="48" t="s">
        <v>12</v>
      </c>
      <c r="I7" s="1"/>
      <c r="J7" s="64"/>
      <c r="K7" s="59" t="s">
        <v>13</v>
      </c>
      <c r="L7" s="108">
        <f>G14+H14/60</f>
        <v>46.616666666666667</v>
      </c>
      <c r="M7" s="61"/>
      <c r="N7" s="108">
        <f>G22+H22/60</f>
        <v>72.015000000000001</v>
      </c>
      <c r="O7" s="61"/>
      <c r="P7" s="1"/>
      <c r="Q7" s="254">
        <v>1</v>
      </c>
      <c r="R7" s="255">
        <v>0.3</v>
      </c>
      <c r="S7" s="1"/>
      <c r="T7" s="136">
        <f>SIGN(IF(D8="S",-1,1)*C8-DEGREES(d))</f>
        <v>1</v>
      </c>
      <c r="U7" s="322"/>
      <c r="V7" s="137">
        <f>IF(dat_+ot_-(dat+ot)&lt;0," ",IF(dat_+ot_-(dat+ot)-INT(dat_+ot_-(dat+ot))&gt;0.25,-1,1))</f>
        <v>1</v>
      </c>
      <c r="W7" s="72"/>
      <c r="X7" s="72"/>
    </row>
    <row r="8" spans="1:36" ht="18" customHeight="1" thickBot="1">
      <c r="A8" s="280"/>
      <c r="B8" s="44" t="s">
        <v>126</v>
      </c>
      <c r="C8" s="281">
        <v>34</v>
      </c>
      <c r="D8" s="300" t="s">
        <v>130</v>
      </c>
      <c r="E8" s="45"/>
      <c r="F8" s="46" t="s">
        <v>3</v>
      </c>
      <c r="G8" s="49">
        <v>2.5</v>
      </c>
      <c r="H8" s="78" t="s">
        <v>6</v>
      </c>
      <c r="I8" s="1"/>
      <c r="J8" s="65"/>
      <c r="K8" s="60" t="s">
        <v>14</v>
      </c>
      <c r="L8" s="109">
        <f>16-(55*TAN(RADIANS(90-L7))/60-55/1000*(TAN(RADIANS(90-L7)))^3/60+1.777*SQRT(G8))</f>
        <v>12.324746518308107</v>
      </c>
      <c r="M8" s="62"/>
      <c r="N8" s="109">
        <f>16-(55*TAN(RADIANS(90-N7))/60-55/1000*(TAN(RADIANS(90-N7)))^3/60+1.777*SQRT(G8))</f>
        <v>12.892769900105415</v>
      </c>
      <c r="O8" s="62"/>
      <c r="P8" s="1"/>
      <c r="Q8" s="256">
        <f t="shared" ref="Q8:Q18" si="0">1+Q7</f>
        <v>2</v>
      </c>
      <c r="R8" s="257">
        <v>0.2</v>
      </c>
      <c r="S8" s="1"/>
      <c r="T8" s="101" t="s">
        <v>27</v>
      </c>
      <c r="U8" s="102" t="s">
        <v>4</v>
      </c>
      <c r="V8" s="103" t="s">
        <v>51</v>
      </c>
      <c r="W8" s="72"/>
      <c r="X8" s="72"/>
    </row>
    <row r="9" spans="1:36" ht="18" customHeight="1">
      <c r="A9" s="4"/>
      <c r="B9" s="4"/>
      <c r="C9" s="86" t="str">
        <f>IF(OR(D8="N",D8="S")," ","N oder S eingeben")</f>
        <v xml:space="preserve"> </v>
      </c>
      <c r="D9" s="9"/>
      <c r="E9" s="9"/>
      <c r="F9" s="9"/>
      <c r="G9" s="9"/>
      <c r="H9" s="4"/>
      <c r="I9" s="1"/>
      <c r="J9" s="65"/>
      <c r="K9" s="60" t="s">
        <v>15</v>
      </c>
      <c r="L9" s="110">
        <f>IF(H6="U",DGET(Q6:R18,2,R19:R20),IF(H6="O",-(32+DGET(Q6:R18,2,R19:R20)),#N/A))</f>
        <v>-0.2</v>
      </c>
      <c r="M9" s="62"/>
      <c r="N9" s="110">
        <f>IF(H7="U",DGET(Q6:R18,2,R19:R20),IF(H7="O",-(32+DGET(Q6:R18,2,R19:R20)),#N/A))</f>
        <v>-0.2</v>
      </c>
      <c r="O9" s="62"/>
      <c r="P9" s="1"/>
      <c r="Q9" s="256">
        <f t="shared" si="0"/>
        <v>3</v>
      </c>
      <c r="R9" s="257">
        <v>0.1</v>
      </c>
      <c r="S9" s="1"/>
      <c r="T9" s="73" t="s">
        <v>45</v>
      </c>
      <c r="U9" s="210">
        <f t="shared" ref="U9:U22" si="1">DEGREES(V9)</f>
        <v>36.846469781415323</v>
      </c>
      <c r="V9" s="216">
        <f>K*(grt_-grt)</f>
        <v>0.64309221542229267</v>
      </c>
      <c r="W9" s="296"/>
      <c r="X9" s="297"/>
      <c r="Y9" s="290"/>
      <c r="Z9" s="290"/>
    </row>
    <row r="10" spans="1:36" ht="18" customHeight="1">
      <c r="A10" s="4"/>
      <c r="B10" s="4"/>
      <c r="C10" s="4"/>
      <c r="D10" s="4"/>
      <c r="E10" s="4"/>
      <c r="F10" s="4"/>
      <c r="G10" s="4"/>
      <c r="H10" s="4"/>
      <c r="I10" s="1"/>
      <c r="J10" s="65"/>
      <c r="K10" s="60" t="s">
        <v>16</v>
      </c>
      <c r="L10" s="110">
        <f>C6</f>
        <v>1.5</v>
      </c>
      <c r="M10" s="62"/>
      <c r="N10" s="110">
        <f>C7</f>
        <v>1.5</v>
      </c>
      <c r="O10" s="62"/>
      <c r="P10" s="1"/>
      <c r="Q10" s="256">
        <f t="shared" si="0"/>
        <v>4</v>
      </c>
      <c r="R10" s="257">
        <v>0</v>
      </c>
      <c r="S10" s="1"/>
      <c r="T10" s="96" t="s">
        <v>32</v>
      </c>
      <c r="U10" s="211">
        <f t="shared" si="1"/>
        <v>26.510666736214155</v>
      </c>
      <c r="V10" s="217">
        <f>ATAN(TAN(d_)/COS(q))</f>
        <v>0.46269842144587603</v>
      </c>
      <c r="W10" s="72"/>
      <c r="X10" s="72"/>
      <c r="Y10" s="290"/>
      <c r="Z10" s="290"/>
    </row>
    <row r="11" spans="1:36" ht="18" customHeight="1">
      <c r="A11" s="4"/>
      <c r="B11" s="11" t="s">
        <v>107</v>
      </c>
      <c r="C11" s="11"/>
      <c r="D11" s="11"/>
      <c r="E11" s="9"/>
      <c r="F11" s="9"/>
      <c r="G11" s="12"/>
      <c r="H11" s="12"/>
      <c r="I11" s="1"/>
      <c r="J11" s="65"/>
      <c r="K11" s="60" t="s">
        <v>18</v>
      </c>
      <c r="L11" s="111">
        <f>L7+(L8+L9+L10)/60</f>
        <v>46.843745775305138</v>
      </c>
      <c r="M11" s="113"/>
      <c r="N11" s="111">
        <f>N7+(N8+N9+N10)/60</f>
        <v>72.251546165001756</v>
      </c>
      <c r="O11" s="113"/>
      <c r="P11" s="1"/>
      <c r="Q11" s="256">
        <f t="shared" si="0"/>
        <v>5</v>
      </c>
      <c r="R11" s="257">
        <v>-0.2</v>
      </c>
      <c r="S11" s="1"/>
      <c r="T11" s="97" t="s">
        <v>43</v>
      </c>
      <c r="U11" s="212">
        <f t="shared" si="1"/>
        <v>82.937730956573475</v>
      </c>
      <c r="V11" s="218">
        <f>IF(F-d&gt;0,0,PI())+ATAN(COS(F)*TAN(q)/SIN(F-d))</f>
        <v>1.4475364793254333</v>
      </c>
      <c r="W11" s="294"/>
      <c r="X11" s="294"/>
      <c r="Y11" s="290"/>
      <c r="Z11" s="290"/>
      <c r="AC11" s="288"/>
      <c r="AF11" s="286"/>
    </row>
    <row r="12" spans="1:36" ht="18" customHeight="1">
      <c r="A12" s="4"/>
      <c r="B12" s="50" t="s">
        <v>0</v>
      </c>
      <c r="C12" s="51"/>
      <c r="D12" s="22"/>
      <c r="E12" s="22"/>
      <c r="F12" s="52"/>
      <c r="G12" s="311">
        <v>45076</v>
      </c>
      <c r="H12" s="312"/>
      <c r="I12" s="1"/>
      <c r="J12" s="65"/>
      <c r="K12" s="60" t="s">
        <v>19</v>
      </c>
      <c r="L12" s="112">
        <f>INT(L11)</f>
        <v>46</v>
      </c>
      <c r="M12" s="63">
        <f>(L11-L12)*60</f>
        <v>50.624746518308257</v>
      </c>
      <c r="N12" s="112">
        <f>INT(N11)</f>
        <v>72</v>
      </c>
      <c r="O12" s="63">
        <f>(N11-N12)*60</f>
        <v>15.092769900105338</v>
      </c>
      <c r="P12" s="1"/>
      <c r="Q12" s="256">
        <f t="shared" si="0"/>
        <v>6</v>
      </c>
      <c r="R12" s="257">
        <v>-0.2</v>
      </c>
      <c r="S12" s="1"/>
      <c r="T12" s="98" t="s">
        <v>33</v>
      </c>
      <c r="U12" s="211">
        <f t="shared" si="1"/>
        <v>24.741715576656116</v>
      </c>
      <c r="V12" s="219">
        <f>P*ACOS(COS(V)*TAN(h)/TAN(F-d)*(SIN(h_)*SIN(F)/SIN(h)/SIN(d_)/COS(F-d)-1))</f>
        <v>0.4318243994046167</v>
      </c>
      <c r="W12" s="294"/>
      <c r="X12" s="294"/>
      <c r="Y12" s="290"/>
      <c r="Z12" s="290"/>
      <c r="AC12" s="288"/>
    </row>
    <row r="13" spans="1:36" ht="18" customHeight="1" thickBot="1">
      <c r="A13" s="4"/>
      <c r="B13" s="50" t="s">
        <v>1</v>
      </c>
      <c r="C13" s="51"/>
      <c r="D13" s="22"/>
      <c r="E13" s="22"/>
      <c r="F13" s="52" t="str">
        <f>IF(ISNUMBER(G13)=TRUE,"hh:mm:ss"," Syntax !!! ")</f>
        <v>hh:mm:ss</v>
      </c>
      <c r="G13" s="307">
        <v>0.3167476851851852</v>
      </c>
      <c r="H13" s="308"/>
      <c r="I13" s="1"/>
      <c r="J13" s="66"/>
      <c r="K13" s="58" t="s">
        <v>17</v>
      </c>
      <c r="L13" s="139">
        <f>RADIANS(L11)</f>
        <v>0.81757759774625849</v>
      </c>
      <c r="M13" s="114" t="s">
        <v>10</v>
      </c>
      <c r="N13" s="139">
        <f>RADIANS(N11)</f>
        <v>1.2610273702359629</v>
      </c>
      <c r="O13" s="114" t="s">
        <v>44</v>
      </c>
      <c r="P13" s="1"/>
      <c r="Q13" s="256">
        <f t="shared" si="0"/>
        <v>7</v>
      </c>
      <c r="R13" s="257">
        <v>-0.2</v>
      </c>
      <c r="S13" s="1"/>
      <c r="T13" s="97" t="s">
        <v>34</v>
      </c>
      <c r="U13" s="212">
        <f t="shared" si="1"/>
        <v>63.704030382563452</v>
      </c>
      <c r="V13" s="220">
        <f>ATAN(TAN(h)/COS(V-W))+IF((PI()/2-(V-W))*P&lt;0,-SIGN(d)*PI(),0)</f>
        <v>1.1118450769662351</v>
      </c>
      <c r="W13" s="294"/>
      <c r="X13" s="294"/>
      <c r="Y13" s="290"/>
      <c r="Z13" s="290"/>
      <c r="AC13" s="288"/>
    </row>
    <row r="14" spans="1:36" ht="18" customHeight="1">
      <c r="A14" s="4"/>
      <c r="B14" s="50" t="s">
        <v>2</v>
      </c>
      <c r="C14" s="284"/>
      <c r="D14" s="284"/>
      <c r="E14" s="284"/>
      <c r="F14" s="285" t="s">
        <v>129</v>
      </c>
      <c r="G14" s="23">
        <v>46</v>
      </c>
      <c r="H14" s="28">
        <v>37</v>
      </c>
      <c r="I14" s="1"/>
      <c r="J14" s="1"/>
      <c r="K14" s="1"/>
      <c r="L14" s="1"/>
      <c r="M14" s="1"/>
      <c r="N14" s="1"/>
      <c r="O14" s="1"/>
      <c r="P14" s="1"/>
      <c r="Q14" s="256">
        <f t="shared" si="0"/>
        <v>8</v>
      </c>
      <c r="R14" s="257">
        <v>-0.2</v>
      </c>
      <c r="S14" s="1"/>
      <c r="T14" s="96" t="s">
        <v>37</v>
      </c>
      <c r="U14" s="211">
        <f t="shared" si="1"/>
        <v>46.896477277736849</v>
      </c>
      <c r="V14" s="217">
        <f>IF((G-d)*P&gt;0,0,PI())+ATAN(COS(G)*TAN(V-W)/SIN(G-d))</f>
        <v>0.81849793608321531</v>
      </c>
      <c r="W14" s="294"/>
      <c r="X14" s="294"/>
      <c r="Y14" s="290"/>
      <c r="Z14" s="290"/>
      <c r="AC14" s="288"/>
      <c r="AG14" s="287"/>
    </row>
    <row r="15" spans="1:36" ht="18" customHeight="1">
      <c r="A15" s="4"/>
      <c r="B15" s="13"/>
      <c r="C15" s="13"/>
      <c r="D15" s="13"/>
      <c r="E15" s="4"/>
      <c r="F15" s="24"/>
      <c r="G15" s="4"/>
      <c r="H15" s="24"/>
      <c r="I15" s="1"/>
      <c r="J15" s="1"/>
      <c r="K15" s="1"/>
      <c r="L15" s="1"/>
      <c r="M15" s="33"/>
      <c r="N15" s="32"/>
      <c r="O15" s="35"/>
      <c r="P15" s="1"/>
      <c r="Q15" s="256">
        <f t="shared" si="0"/>
        <v>9</v>
      </c>
      <c r="R15" s="257">
        <v>-0.1</v>
      </c>
      <c r="S15" s="1"/>
      <c r="T15" s="133" t="s">
        <v>35</v>
      </c>
      <c r="U15" s="213">
        <f t="shared" si="1"/>
        <v>37.234942124289084</v>
      </c>
      <c r="V15" s="221">
        <f>ATAN(COS(tau)*_xlfn.COT(G-d))</f>
        <v>0.6498723368583762</v>
      </c>
      <c r="W15" s="294"/>
      <c r="X15" s="294"/>
      <c r="Y15" s="290"/>
      <c r="Z15" s="290"/>
      <c r="AC15" s="288"/>
      <c r="AG15" s="287"/>
    </row>
    <row r="16" spans="1:36" ht="18" customHeight="1" thickBot="1">
      <c r="A16" s="4"/>
      <c r="B16" s="11" t="s">
        <v>108</v>
      </c>
      <c r="C16" s="31"/>
      <c r="D16" s="30"/>
      <c r="E16" s="12"/>
      <c r="F16" s="12"/>
      <c r="G16" s="12"/>
      <c r="H16" s="9"/>
      <c r="I16" s="1"/>
      <c r="J16" s="126" t="s">
        <v>113</v>
      </c>
      <c r="K16" s="1"/>
      <c r="L16" s="1"/>
      <c r="M16" s="265" t="s">
        <v>112</v>
      </c>
      <c r="N16" s="1"/>
      <c r="O16" s="1"/>
      <c r="P16" s="1"/>
      <c r="Q16" s="256">
        <f t="shared" si="0"/>
        <v>10</v>
      </c>
      <c r="R16" s="257">
        <v>0.1</v>
      </c>
      <c r="S16" s="1"/>
      <c r="T16" s="96" t="s">
        <v>46</v>
      </c>
      <c r="U16" s="211">
        <f t="shared" si="1"/>
        <v>341.55020963615243</v>
      </c>
      <c r="V16" s="219">
        <f>grt+K*tau</f>
        <v>5.9611757190277235</v>
      </c>
      <c r="W16" s="294"/>
      <c r="X16" s="294"/>
      <c r="Y16" s="290"/>
      <c r="Z16" s="290"/>
      <c r="AC16" s="288"/>
      <c r="AG16" s="287"/>
    </row>
    <row r="17" spans="1:33" ht="18" customHeight="1" thickBot="1">
      <c r="A17" s="4"/>
      <c r="B17" s="50" t="s">
        <v>39</v>
      </c>
      <c r="C17" s="299">
        <v>16</v>
      </c>
      <c r="D17" s="298" t="s">
        <v>5</v>
      </c>
      <c r="E17" s="325" t="s">
        <v>40</v>
      </c>
      <c r="F17" s="325"/>
      <c r="G17" s="326"/>
      <c r="H17" s="71">
        <v>330</v>
      </c>
      <c r="I17" s="10"/>
      <c r="J17" s="122" t="s">
        <v>52</v>
      </c>
      <c r="K17" s="123" t="s">
        <v>55</v>
      </c>
      <c r="L17" s="1"/>
      <c r="M17" s="252" t="s">
        <v>52</v>
      </c>
      <c r="N17" s="124" t="s">
        <v>53</v>
      </c>
      <c r="O17" s="125" t="s">
        <v>54</v>
      </c>
      <c r="P17" s="69"/>
      <c r="Q17" s="256">
        <f t="shared" si="0"/>
        <v>11</v>
      </c>
      <c r="R17" s="257">
        <v>0.2</v>
      </c>
      <c r="S17" s="1"/>
      <c r="T17" s="75" t="s">
        <v>28</v>
      </c>
      <c r="U17" s="212">
        <f t="shared" si="1"/>
        <v>313.10352272226316</v>
      </c>
      <c r="V17" s="220">
        <f>IF(grt-V16&lt;0,grt-V16+ 2*PI(),IF(grt-V16&gt;2*PI(),grt-V16-2*PI(),grt-V16))</f>
        <v>5.464687371096371</v>
      </c>
      <c r="W17" s="294"/>
      <c r="X17" s="294"/>
      <c r="Y17" s="290"/>
      <c r="Z17" s="290"/>
      <c r="AC17" s="288"/>
    </row>
    <row r="18" spans="1:33" ht="18" customHeight="1" thickBot="1">
      <c r="A18" s="4"/>
      <c r="B18" s="9"/>
      <c r="C18" s="9"/>
      <c r="D18" s="9"/>
      <c r="E18" s="9"/>
      <c r="F18" s="9"/>
      <c r="G18" s="9"/>
      <c r="H18" s="9"/>
      <c r="I18" s="1"/>
      <c r="J18" s="244" t="s">
        <v>98</v>
      </c>
      <c r="K18" s="245">
        <f>280.4656</f>
        <v>280.46559999999999</v>
      </c>
      <c r="L18" s="1"/>
      <c r="M18" s="251" t="s">
        <v>88</v>
      </c>
      <c r="N18" s="226">
        <f>_xlfn.DAYS(dat,ref)+ot-0.5</f>
        <v>8549.816747685185</v>
      </c>
      <c r="O18" s="227">
        <f>_xlfn.DAYS(dat_,ref)+ot_-0.5</f>
        <v>8549.9191087962954</v>
      </c>
      <c r="P18" s="1"/>
      <c r="Q18" s="258">
        <f t="shared" si="0"/>
        <v>12</v>
      </c>
      <c r="R18" s="259">
        <v>0.3</v>
      </c>
      <c r="S18" s="1"/>
      <c r="T18" s="96" t="s">
        <v>36</v>
      </c>
      <c r="U18" s="211">
        <f t="shared" si="1"/>
        <v>97.483251032970969</v>
      </c>
      <c r="V18" s="217">
        <f>IF(LHA&gt;PI(),ACOS((SIN(d)-SIN(h)*SIN(j))/(COS(h)*COS(j))),(2*PI()-ACOS((SIN(d)-SIN(h)*SIN(j))/(COS(h)*COS(j)))))</f>
        <v>1.7014036960735066</v>
      </c>
      <c r="W18" s="294"/>
      <c r="X18" s="294"/>
      <c r="Y18" s="290"/>
      <c r="Z18" s="290"/>
      <c r="AB18" s="293"/>
      <c r="AC18" s="288"/>
      <c r="AE18" s="288"/>
      <c r="AF18" s="288"/>
    </row>
    <row r="19" spans="1:33" ht="18" customHeight="1">
      <c r="A19" s="4"/>
      <c r="B19" s="11" t="s">
        <v>109</v>
      </c>
      <c r="C19" s="18"/>
      <c r="D19" s="18"/>
      <c r="E19" s="19"/>
      <c r="F19" s="19"/>
      <c r="G19" s="20"/>
      <c r="H19" s="1"/>
      <c r="I19" s="1"/>
      <c r="J19" s="246" t="s">
        <v>99</v>
      </c>
      <c r="K19" s="247">
        <f>282.94</f>
        <v>282.94</v>
      </c>
      <c r="L19" s="1"/>
      <c r="M19" s="228" t="s">
        <v>89</v>
      </c>
      <c r="N19" s="229">
        <f>_A1+_B1*_T1</f>
        <v>8707.5697129567598</v>
      </c>
      <c r="O19" s="230">
        <f>_A1+_B1*_T2</f>
        <v>8707.6706049133827</v>
      </c>
      <c r="P19" s="1"/>
      <c r="Q19" s="323" t="s">
        <v>116</v>
      </c>
      <c r="R19" s="99" t="s">
        <v>119</v>
      </c>
      <c r="S19" s="1"/>
      <c r="T19" s="128" t="s">
        <v>47</v>
      </c>
      <c r="U19" s="214">
        <f t="shared" si="1"/>
        <v>46.681471245628579</v>
      </c>
      <c r="V19" s="220">
        <f>RADIANS(dmg/60)*COS(V18-RADIANS(cmg))+h</f>
        <v>0.81474537291127735</v>
      </c>
      <c r="W19" s="294"/>
      <c r="X19" s="294"/>
      <c r="Y19" s="290"/>
      <c r="Z19" s="290"/>
      <c r="AC19" s="288"/>
      <c r="AE19" s="288"/>
      <c r="AF19" s="288"/>
      <c r="AG19" s="289"/>
    </row>
    <row r="20" spans="1:33" ht="18" customHeight="1" thickBot="1">
      <c r="A20" s="4"/>
      <c r="B20" s="50" t="s">
        <v>0</v>
      </c>
      <c r="C20" s="333" t="s">
        <v>31</v>
      </c>
      <c r="D20" s="333"/>
      <c r="E20" s="334"/>
      <c r="F20" s="95">
        <v>0</v>
      </c>
      <c r="G20" s="309">
        <f>dat+TG</f>
        <v>45076</v>
      </c>
      <c r="H20" s="310"/>
      <c r="I20" s="1"/>
      <c r="J20" s="246" t="s">
        <v>100</v>
      </c>
      <c r="K20" s="247">
        <f>0.016709</f>
        <v>1.6709000000000002E-2</v>
      </c>
      <c r="L20" s="1"/>
      <c r="M20" s="228" t="s">
        <v>87</v>
      </c>
      <c r="N20" s="231">
        <f>N19*PI()/180</f>
        <v>151.97576133803301</v>
      </c>
      <c r="O20" s="232">
        <f>O19*PI()/180</f>
        <v>151.97752223486486</v>
      </c>
      <c r="P20" s="1"/>
      <c r="Q20" s="324"/>
      <c r="R20" s="100">
        <f>MONTH(G12)</f>
        <v>5</v>
      </c>
      <c r="S20" s="1"/>
      <c r="T20" s="98" t="s">
        <v>48</v>
      </c>
      <c r="U20" s="211">
        <f t="shared" si="1"/>
        <v>24.543929597581329</v>
      </c>
      <c r="V20" s="219">
        <f>T7*ACOS(COS(V)*TAN(hs)/TAN(F-d)*(SIN(h_)*SIN(F)/SIN(hs)/SIN(d_)/COS(F-d)-1))</f>
        <v>0.42837238285548107</v>
      </c>
      <c r="W20" s="295"/>
      <c r="X20" s="294"/>
      <c r="Y20" s="290"/>
      <c r="Z20" s="290"/>
      <c r="AC20" s="288"/>
      <c r="AE20" s="288"/>
      <c r="AF20" s="288"/>
      <c r="AG20" s="288"/>
    </row>
    <row r="21" spans="1:33" ht="18" customHeight="1">
      <c r="A21" s="4"/>
      <c r="B21" s="50" t="s">
        <v>1</v>
      </c>
      <c r="C21" s="51"/>
      <c r="D21" s="22"/>
      <c r="E21" s="22"/>
      <c r="F21" s="52" t="str">
        <f>IF(F20+ot_-ot&lt;0,"Beobachtungszeiten falsch! ","hh:mm:ss ")</f>
        <v xml:space="preserve">hh:mm:ss </v>
      </c>
      <c r="G21" s="307">
        <v>0.41910879629629627</v>
      </c>
      <c r="H21" s="308"/>
      <c r="I21" s="1"/>
      <c r="J21" s="246" t="s">
        <v>101</v>
      </c>
      <c r="K21" s="247">
        <f>23.4391667</f>
        <v>23.439166700000001</v>
      </c>
      <c r="L21" s="1"/>
      <c r="M21" s="228" t="s">
        <v>91</v>
      </c>
      <c r="N21" s="229">
        <f>_A2+_B2*_T1</f>
        <v>283.34243244223467</v>
      </c>
      <c r="O21" s="230">
        <f>_A2+_B2*_T2</f>
        <v>283.34243726028313</v>
      </c>
      <c r="P21" s="1"/>
      <c r="Q21" s="1"/>
      <c r="R21" s="1"/>
      <c r="S21" s="1"/>
      <c r="T21" s="97" t="s">
        <v>49</v>
      </c>
      <c r="U21" s="212">
        <f t="shared" si="1"/>
        <v>63.702050677002831</v>
      </c>
      <c r="V21" s="220">
        <f>ATAN(TAN(hs)/COS(V-Ws))+IF((PI()/2-(V-W))*P&lt;0,-SIGN(d)*PI(),0)</f>
        <v>1.1118105245859822</v>
      </c>
      <c r="W21" s="294"/>
      <c r="X21" s="294"/>
      <c r="Y21" s="290"/>
      <c r="Z21" s="290"/>
      <c r="AC21" s="288"/>
      <c r="AE21" s="288"/>
      <c r="AF21" s="288"/>
      <c r="AG21" s="288"/>
    </row>
    <row r="22" spans="1:33" ht="18" customHeight="1">
      <c r="A22" s="4"/>
      <c r="B22" s="50" t="s">
        <v>2</v>
      </c>
      <c r="C22" s="331" t="s">
        <v>38</v>
      </c>
      <c r="D22" s="331"/>
      <c r="E22" s="331"/>
      <c r="F22" s="332"/>
      <c r="G22" s="23">
        <v>72</v>
      </c>
      <c r="H22" s="28">
        <v>0.9</v>
      </c>
      <c r="I22" s="1"/>
      <c r="J22" s="248"/>
      <c r="K22" s="249"/>
      <c r="L22" s="1"/>
      <c r="M22" s="228" t="s">
        <v>90</v>
      </c>
      <c r="N22" s="231">
        <f>N21*PI()/180</f>
        <v>4.9452583567265931</v>
      </c>
      <c r="O22" s="232">
        <f>O21*PI()/180</f>
        <v>4.9452584408174021</v>
      </c>
      <c r="P22" s="1"/>
      <c r="Q22" s="130"/>
      <c r="R22" s="41"/>
      <c r="S22" s="1"/>
      <c r="T22" s="106" t="s">
        <v>75</v>
      </c>
      <c r="U22" s="211">
        <f t="shared" si="1"/>
        <v>47.120209779589331</v>
      </c>
      <c r="V22" s="217">
        <f>IF((Gs-d)*P&gt;0,0,PI())+K*ATAN(COS(Gs)*TAN(V-Ws)/SIN(Gs-d))</f>
        <v>0.82240280488426543</v>
      </c>
      <c r="W22" s="294"/>
      <c r="X22" s="294"/>
      <c r="Y22" s="290"/>
      <c r="Z22" s="290"/>
      <c r="AC22" s="288"/>
      <c r="AE22" s="288"/>
      <c r="AF22" s="288"/>
      <c r="AG22" s="288"/>
    </row>
    <row r="23" spans="1:33" ht="18" customHeight="1">
      <c r="A23" s="4"/>
      <c r="B23" s="9"/>
      <c r="C23" s="4"/>
      <c r="D23" s="4"/>
      <c r="E23" s="4"/>
      <c r="F23" s="24"/>
      <c r="G23" s="21"/>
      <c r="H23" s="53" t="str">
        <f>IF(NOT(INT(G22)=G22),"EINGABEFEHLER!  ","")</f>
        <v/>
      </c>
      <c r="I23" s="1"/>
      <c r="J23" s="246" t="s">
        <v>102</v>
      </c>
      <c r="K23" s="250">
        <v>0.98564733744010957</v>
      </c>
      <c r="L23" s="1"/>
      <c r="M23" s="228" t="s">
        <v>92</v>
      </c>
      <c r="N23" s="231">
        <f>N20-N22</f>
        <v>147.03050298130643</v>
      </c>
      <c r="O23" s="232">
        <f>(O20-O22)</f>
        <v>147.03226379404745</v>
      </c>
      <c r="P23" s="1"/>
      <c r="Q23" s="131"/>
      <c r="R23" s="1"/>
      <c r="S23" s="1"/>
      <c r="T23" s="129" t="s">
        <v>76</v>
      </c>
      <c r="U23" s="212">
        <f>IF(var="Error",#N/A,DEGREES(js))</f>
        <v>37.121307222171055</v>
      </c>
      <c r="V23" s="220">
        <f>ATAN(COS(taus)*_xlfn.COT(Gs-d))</f>
        <v>0.64788903367123507</v>
      </c>
      <c r="W23" s="294"/>
      <c r="X23" s="294"/>
      <c r="Y23" s="290"/>
      <c r="Z23" s="290"/>
      <c r="AE23" s="288"/>
      <c r="AF23" s="288"/>
    </row>
    <row r="24" spans="1:33" ht="18" customHeight="1">
      <c r="A24" s="4"/>
      <c r="B24" s="11" t="s">
        <v>110</v>
      </c>
      <c r="C24" s="1"/>
      <c r="D24" s="1"/>
      <c r="E24" s="1"/>
      <c r="F24" s="1"/>
      <c r="G24" s="1"/>
      <c r="H24" s="1"/>
      <c r="I24" s="1"/>
      <c r="J24" s="246" t="s">
        <v>103</v>
      </c>
      <c r="K24" s="250">
        <v>4.706913073237508E-5</v>
      </c>
      <c r="L24" s="1"/>
      <c r="M24" s="228" t="s">
        <v>93</v>
      </c>
      <c r="N24" s="231">
        <f>_A3-_B3*_T1</f>
        <v>1.6699168588544758E-2</v>
      </c>
      <c r="O24" s="232">
        <f>_A3-_B3*_T2</f>
        <v>1.6699168470839989E-2</v>
      </c>
      <c r="P24" s="1"/>
      <c r="Q24" s="130"/>
      <c r="R24" s="1"/>
      <c r="S24" s="1"/>
      <c r="T24" s="127" t="s">
        <v>77</v>
      </c>
      <c r="U24" s="211">
        <f>DEGREES(V24)</f>
        <v>341.77394213800488</v>
      </c>
      <c r="V24" s="217">
        <f>grt+taus</f>
        <v>5.9650805878287736</v>
      </c>
      <c r="W24" s="294"/>
      <c r="X24" s="294"/>
      <c r="Y24" s="290"/>
      <c r="Z24" s="290"/>
      <c r="AE24" s="288"/>
    </row>
    <row r="25" spans="1:33" ht="18" customHeight="1" thickBot="1">
      <c r="A25" s="4"/>
      <c r="B25" s="88" t="s">
        <v>61</v>
      </c>
      <c r="C25" s="89">
        <f>IFERROR(ABS(ROUNDDOWN(lat,0))," ")</f>
        <v>37</v>
      </c>
      <c r="D25" s="90">
        <f>IFERROR((ABS(lat)-C25)*60," ")</f>
        <v>7.2784333302632831</v>
      </c>
      <c r="E25" s="91" t="str">
        <f>IFERROR(IF(lat&lt;0,"S","N")," ")</f>
        <v>N</v>
      </c>
      <c r="F25" s="92">
        <f>IFERROR(ABS(ROUNDDOWN(lon,0))," ")</f>
        <v>18</v>
      </c>
      <c r="G25" s="93">
        <f>IFERROR((ABS(lon)-F25)*60," ")</f>
        <v>13.563471719705475</v>
      </c>
      <c r="H25" s="94" t="str">
        <f>IFERROR(IF(lon&lt;0,"W","E")," ")</f>
        <v>E</v>
      </c>
      <c r="I25" s="1"/>
      <c r="J25" s="246" t="s">
        <v>104</v>
      </c>
      <c r="K25" s="250">
        <v>1.1498973305954826E-9</v>
      </c>
      <c r="L25" s="1"/>
      <c r="M25" s="228" t="s">
        <v>122</v>
      </c>
      <c r="N25" s="231">
        <f>(2*N24-N24^3/4)*SIN(N23)+5*N24^2/4*SIN(2*N23)+13*N24^3/12*SIN(3*N23)</f>
        <v>1.9197197225121448E-2</v>
      </c>
      <c r="O25" s="232">
        <f>(2*O24-O24^3/4)*SIN(O23)+5*O24^2/4*SIN(2*O23)+13*O24^3/12*SIN(3*O23)</f>
        <v>1.9149853426114777E-2</v>
      </c>
      <c r="P25" s="1"/>
      <c r="Q25" s="132"/>
      <c r="R25" s="1"/>
      <c r="S25" s="1"/>
      <c r="T25" s="107" t="s">
        <v>50</v>
      </c>
      <c r="U25" s="215">
        <f>IF(var="Error",#N/A,DEGREES(ls))</f>
        <v>18.226057861995091</v>
      </c>
      <c r="V25" s="292">
        <f>IF(V24&gt;3*PI(),2*PI(),0)+IF(V24&lt;PI(),-V24,2*PI()-V24)</f>
        <v>0.31810471935081264</v>
      </c>
      <c r="W25" s="294"/>
      <c r="X25" s="294"/>
      <c r="Y25" s="290"/>
      <c r="Z25" s="290"/>
      <c r="AC25" s="288"/>
    </row>
    <row r="26" spans="1:33" ht="18" customHeight="1">
      <c r="A26" s="4"/>
      <c r="B26" s="53" t="s">
        <v>11</v>
      </c>
      <c r="C26" s="303">
        <f>IF(var ="false","nicht verfügbar",(360-LHA°)/15/24+ot)</f>
        <v>0.44701567762334304</v>
      </c>
      <c r="D26" s="303"/>
      <c r="E26" s="87" t="s">
        <v>30</v>
      </c>
      <c r="F26" s="4"/>
      <c r="G26" s="25"/>
      <c r="H26" s="17"/>
      <c r="I26" s="1"/>
      <c r="J26" s="246" t="s">
        <v>105</v>
      </c>
      <c r="K26" s="250">
        <v>3.5607270514868054E-7</v>
      </c>
      <c r="L26" s="1"/>
      <c r="M26" s="233" t="s">
        <v>89</v>
      </c>
      <c r="N26" s="231">
        <f>N20+N25</f>
        <v>151.99495853525812</v>
      </c>
      <c r="O26" s="232">
        <f>O20+O25</f>
        <v>151.99667208829098</v>
      </c>
      <c r="P26" s="1"/>
      <c r="Q26" s="130"/>
      <c r="R26" s="1"/>
      <c r="S26" s="1"/>
      <c r="T26" s="1"/>
      <c r="U26" s="1"/>
      <c r="V26" s="293"/>
      <c r="W26" s="72"/>
      <c r="X26" s="72"/>
    </row>
    <row r="27" spans="1:33" ht="18" customHeight="1">
      <c r="A27" s="5"/>
      <c r="B27" s="9"/>
      <c r="C27" s="4"/>
      <c r="D27" s="4"/>
      <c r="E27" s="4"/>
      <c r="F27" s="4"/>
      <c r="G27" s="4"/>
      <c r="H27" s="4"/>
      <c r="I27" s="1"/>
      <c r="J27" s="121"/>
      <c r="K27" s="120"/>
      <c r="L27" s="1"/>
      <c r="M27" s="233" t="s">
        <v>93</v>
      </c>
      <c r="N27" s="229">
        <f>_A4-_B4*_T1</f>
        <v>23.436122343622127</v>
      </c>
      <c r="O27" s="230">
        <f>_A4-_B4*_T2</f>
        <v>23.436122307174131</v>
      </c>
      <c r="P27" s="1"/>
      <c r="Q27" s="130"/>
      <c r="R27" s="1"/>
      <c r="S27" s="1"/>
      <c r="T27" s="1"/>
      <c r="W27" s="72"/>
      <c r="X27" s="72"/>
    </row>
    <row r="28" spans="1:33" ht="18" customHeight="1" thickBot="1">
      <c r="A28" s="1"/>
      <c r="B28" s="264" t="s">
        <v>111</v>
      </c>
      <c r="C28" s="4"/>
      <c r="D28" s="4"/>
      <c r="E28" s="4"/>
      <c r="F28" s="4"/>
      <c r="G28" s="4"/>
      <c r="H28" s="4"/>
      <c r="I28" s="1"/>
      <c r="J28" s="253" t="s">
        <v>124</v>
      </c>
      <c r="K28" s="263">
        <v>36526</v>
      </c>
      <c r="L28" s="1"/>
      <c r="M28" s="234" t="s">
        <v>94</v>
      </c>
      <c r="N28" s="235">
        <f>N27*PI()/180</f>
        <v>0.40903749879641599</v>
      </c>
      <c r="O28" s="236">
        <f>O27*PI()/180</f>
        <v>0.40903749816027846</v>
      </c>
      <c r="P28" s="1"/>
      <c r="Q28" s="130"/>
      <c r="R28" s="1"/>
      <c r="S28" s="1"/>
      <c r="T28" s="15" t="s">
        <v>60</v>
      </c>
      <c r="U28" s="76"/>
      <c r="V28" s="74"/>
      <c r="W28" s="72"/>
      <c r="X28" s="72"/>
    </row>
    <row r="29" spans="1:33" ht="18" customHeight="1" thickBot="1">
      <c r="A29" s="4"/>
      <c r="B29" s="38" t="s">
        <v>20</v>
      </c>
      <c r="C29" s="316">
        <f>G13</f>
        <v>0.3167476851851852</v>
      </c>
      <c r="D29" s="318"/>
      <c r="E29" s="316">
        <f>ot_</f>
        <v>0.41910879629629627</v>
      </c>
      <c r="F29" s="317"/>
      <c r="G29" s="318"/>
      <c r="H29" s="7"/>
      <c r="I29" s="1"/>
      <c r="J29" s="116"/>
      <c r="K29" s="118"/>
      <c r="L29" s="1"/>
      <c r="M29" s="237" t="s">
        <v>95</v>
      </c>
      <c r="N29" s="238">
        <f>ATAN(  (TAN(N20)-TAN(N26)*COS(N28))  /(1+TAN(N20)*TAN(N26)*COS(N28)))</f>
        <v>1.0900727716014856E-2</v>
      </c>
      <c r="O29" s="239">
        <f>ATAN(  (TAN(O20)-TAN(O26)*COS(O28))  /(1+TAN(O20)*TAN(O26)*COS(O28)))</f>
        <v>1.0839113778397474E-2</v>
      </c>
      <c r="P29" s="1"/>
      <c r="Q29" s="130"/>
      <c r="R29" s="1"/>
      <c r="S29" s="1"/>
      <c r="T29" s="77" t="s">
        <v>41</v>
      </c>
      <c r="U29" s="222">
        <f>DEGREES(V29)</f>
        <v>349.72626000182601</v>
      </c>
      <c r="V29" s="223">
        <f>IF(grt_+ls&lt;0,grt_+ls+ 2*PI(),IF(grt_+ls&gt;2*PI(),grt_+ls-2*PI(),grt_+ls))</f>
        <v>6.1038747177176136</v>
      </c>
      <c r="W29" s="72"/>
      <c r="X29" s="72"/>
    </row>
    <row r="30" spans="1:33" ht="18" customHeight="1" thickBot="1">
      <c r="A30" s="4"/>
      <c r="B30" s="82" t="s">
        <v>21</v>
      </c>
      <c r="C30" s="39">
        <f>INT(N33)</f>
        <v>294</v>
      </c>
      <c r="D30" s="270">
        <f>(N33-C30)*60</f>
        <v>39.223941504935738</v>
      </c>
      <c r="E30" s="329">
        <f>INT(O33)</f>
        <v>331</v>
      </c>
      <c r="F30" s="330"/>
      <c r="G30" s="266">
        <f>(O33-E30)*60</f>
        <v>30.012128389853387</v>
      </c>
      <c r="H30" s="4"/>
      <c r="I30" s="1"/>
      <c r="J30" s="115"/>
      <c r="K30" s="119"/>
      <c r="L30" s="1"/>
      <c r="M30" s="278" t="s">
        <v>123</v>
      </c>
      <c r="N30" s="279">
        <f>IF((ot*24+12)&gt;24,N29+RADIANS(15)*(ot*24-12),N29+RADIANS(15)*(ot*24+12))</f>
        <v>5.1426777829445083</v>
      </c>
      <c r="O30" s="279">
        <f>IF((ot_*24+12)&gt;24,O29+RADIANS(15)*(ot_*24-12),O29+RADIANS(15)*(ot_*24+12))</f>
        <v>5.7857699983668009</v>
      </c>
      <c r="P30" s="1"/>
      <c r="Q30" s="130"/>
      <c r="R30" s="1"/>
      <c r="S30" s="1"/>
      <c r="T30" s="79" t="s">
        <v>42</v>
      </c>
      <c r="U30" s="224">
        <f>DEGREES(V30)</f>
        <v>147.08620741091551</v>
      </c>
      <c r="V30" s="225">
        <f>IF(LHA_&gt;PI(),ACOS((SIN(d_)-SIN(js)*SIN(h_))/COS(js)/COS(h_)),(2*PI()-ACOS((SIN(d_)-SIN(js)*SIN(h_))/COS(js)/COS(h_))))</f>
        <v>2.5671386035917596</v>
      </c>
      <c r="W30" s="72"/>
      <c r="X30" s="72"/>
      <c r="Z30" s="291"/>
      <c r="AA30" s="291"/>
      <c r="AB30" s="291"/>
      <c r="AC30" s="291"/>
      <c r="AD30" s="291"/>
    </row>
    <row r="31" spans="1:33" ht="18" customHeight="1">
      <c r="A31" s="4"/>
      <c r="B31" s="83" t="s">
        <v>22</v>
      </c>
      <c r="C31" s="40">
        <f>ROUNDDOWN(N34,0)</f>
        <v>21</v>
      </c>
      <c r="D31" s="271">
        <f>(ABS(N34)-ABS(C31))*60</f>
        <v>44.719245651245743</v>
      </c>
      <c r="E31" s="319">
        <f>ROUNDDOWN(O34,0)</f>
        <v>21</v>
      </c>
      <c r="F31" s="320"/>
      <c r="G31" s="267">
        <f>(ABS(O34)-ABS(E31))*60</f>
        <v>45.634791431355382</v>
      </c>
      <c r="H31" s="4"/>
      <c r="I31" s="1"/>
      <c r="J31" s="1"/>
      <c r="K31" s="119"/>
      <c r="L31" s="1"/>
      <c r="M31" s="240" t="s">
        <v>120</v>
      </c>
      <c r="N31" s="277">
        <f>IF(N30&lt;0,N30+2*PI(),N30)</f>
        <v>5.1426777829445083</v>
      </c>
      <c r="O31" s="277">
        <f>IF(O30&lt;0,O30+2*PI(),O30)</f>
        <v>5.7857699983668009</v>
      </c>
      <c r="P31" s="1"/>
      <c r="Q31" s="130"/>
      <c r="R31" s="1"/>
      <c r="S31" s="1"/>
      <c r="X31" s="72"/>
      <c r="Y31" s="1"/>
      <c r="Z31" s="291"/>
      <c r="AA31" s="291"/>
      <c r="AB31" s="291"/>
      <c r="AC31" s="291"/>
      <c r="AD31" s="291"/>
    </row>
    <row r="32" spans="1:33" ht="18" customHeight="1" thickBot="1">
      <c r="A32" s="4"/>
      <c r="B32" s="84" t="s">
        <v>23</v>
      </c>
      <c r="C32" s="40">
        <f>ROUNDDOWN(U17,0)</f>
        <v>313</v>
      </c>
      <c r="D32" s="271">
        <f>(U17-C32)*60</f>
        <v>6.2113633357898834</v>
      </c>
      <c r="E32" s="319">
        <f>ROUNDDOWN(U29,0)</f>
        <v>349</v>
      </c>
      <c r="F32" s="320"/>
      <c r="G32" s="268">
        <f>(U29-E32)*60</f>
        <v>43.575600109560355</v>
      </c>
      <c r="H32" s="7"/>
      <c r="I32" s="3"/>
      <c r="J32" s="1"/>
      <c r="K32" s="275"/>
      <c r="L32" s="1"/>
      <c r="M32" s="241" t="s">
        <v>96</v>
      </c>
      <c r="N32" s="242">
        <f>ASIN(SIN(N26)*SIN(N28))</f>
        <v>0.37952744417918244</v>
      </c>
      <c r="O32" s="243">
        <f>ASIN(SIN(O26)*SIN(O28))</f>
        <v>0.37979376565111</v>
      </c>
      <c r="P32" s="1"/>
      <c r="Q32" s="130"/>
      <c r="R32" s="130"/>
      <c r="S32" s="130"/>
      <c r="X32" s="72"/>
      <c r="Y32" s="130"/>
      <c r="Z32" s="291"/>
      <c r="AA32" s="291"/>
      <c r="AB32" s="291"/>
      <c r="AC32" s="291"/>
      <c r="AD32" s="291"/>
    </row>
    <row r="33" spans="1:25" ht="18" customHeight="1">
      <c r="A33" s="4"/>
      <c r="B33" s="83" t="s">
        <v>29</v>
      </c>
      <c r="C33" s="40">
        <f>INT(Az°)</f>
        <v>97</v>
      </c>
      <c r="D33" s="271">
        <f>(Az°-C33)*60</f>
        <v>28.99506197825815</v>
      </c>
      <c r="E33" s="319">
        <f>INT(Az_°)</f>
        <v>147</v>
      </c>
      <c r="F33" s="320"/>
      <c r="G33" s="268">
        <f>(Az_°-E33)*60</f>
        <v>5.1724446549303593</v>
      </c>
      <c r="H33" s="282"/>
      <c r="I33" s="282"/>
      <c r="J33" s="282"/>
      <c r="K33" s="275"/>
      <c r="L33" s="1"/>
      <c r="M33" s="240" t="s">
        <v>121</v>
      </c>
      <c r="N33" s="260">
        <f>DEGREES(N31)</f>
        <v>294.6537323584156</v>
      </c>
      <c r="O33" s="260">
        <f>DEGREES(O31)</f>
        <v>331.50020213983089</v>
      </c>
      <c r="P33" s="1"/>
      <c r="Q33" s="130"/>
      <c r="R33" s="130"/>
      <c r="S33" s="130"/>
      <c r="X33" s="130"/>
      <c r="Y33" s="130"/>
    </row>
    <row r="34" spans="1:25" ht="18" customHeight="1" thickBot="1">
      <c r="A34" s="4"/>
      <c r="B34" s="85" t="s">
        <v>26</v>
      </c>
      <c r="C34" s="70">
        <f>L12</f>
        <v>46</v>
      </c>
      <c r="D34" s="272">
        <f>M12</f>
        <v>50.624746518308257</v>
      </c>
      <c r="E34" s="301">
        <f>N12</f>
        <v>72</v>
      </c>
      <c r="F34" s="302"/>
      <c r="G34" s="269">
        <f>O12</f>
        <v>15.092769900105338</v>
      </c>
      <c r="H34" s="4"/>
      <c r="I34" s="3"/>
      <c r="J34" s="1"/>
      <c r="K34" s="275"/>
      <c r="L34" s="117"/>
      <c r="M34" s="241" t="s">
        <v>97</v>
      </c>
      <c r="N34" s="261">
        <f>DEGREES(N32)</f>
        <v>21.745320760854096</v>
      </c>
      <c r="O34" s="262">
        <f>DEGREES(O32)</f>
        <v>21.760579857189256</v>
      </c>
      <c r="P34" s="1"/>
      <c r="Q34" s="130"/>
      <c r="R34" s="130"/>
      <c r="S34" s="130"/>
      <c r="X34" s="130"/>
      <c r="Y34" s="130"/>
    </row>
    <row r="37" spans="1:25">
      <c r="B37" s="276"/>
    </row>
    <row r="39" spans="1:25">
      <c r="B39" s="274"/>
    </row>
  </sheetData>
  <sheetProtection algorithmName="SHA-512" hashValue="CIgC1pPkJSif4b4qRvchd+j2XIDmcerhatitZLc5llj+wj1sac1Nr6y7JU4j2N6PLNKajUc+eFmH1CBcdNcJIg==" saltValue="8Q3Eyb/mR3Oi76J/OMTLBg==" spinCount="100000" sheet="1" objects="1" scenarios="1"/>
  <mergeCells count="21">
    <mergeCell ref="U6:U7"/>
    <mergeCell ref="Q19:Q20"/>
    <mergeCell ref="E17:G17"/>
    <mergeCell ref="E31:F31"/>
    <mergeCell ref="L6:M6"/>
    <mergeCell ref="N6:O6"/>
    <mergeCell ref="E30:F30"/>
    <mergeCell ref="C22:F22"/>
    <mergeCell ref="C20:E20"/>
    <mergeCell ref="E34:F34"/>
    <mergeCell ref="C26:D26"/>
    <mergeCell ref="D6:G6"/>
    <mergeCell ref="G21:H21"/>
    <mergeCell ref="G20:H20"/>
    <mergeCell ref="G12:H12"/>
    <mergeCell ref="G13:H13"/>
    <mergeCell ref="D7:G7"/>
    <mergeCell ref="E29:G29"/>
    <mergeCell ref="C29:D29"/>
    <mergeCell ref="E33:F33"/>
    <mergeCell ref="E32:F32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E153-CB63-C74B-98F7-7BA9F0E28284}">
  <dimension ref="A1:T60"/>
  <sheetViews>
    <sheetView workbookViewId="0">
      <selection activeCell="I15" sqref="I15"/>
    </sheetView>
  </sheetViews>
  <sheetFormatPr baseColWidth="10" defaultRowHeight="16"/>
  <sheetData>
    <row r="1" spans="1:20" ht="17" thickBot="1">
      <c r="A1" s="4"/>
      <c r="B1" s="4"/>
      <c r="C1" s="4"/>
      <c r="D1" s="4"/>
      <c r="E1" s="4"/>
      <c r="F1" s="4"/>
      <c r="G1" s="4"/>
      <c r="H1" s="4"/>
      <c r="I1" s="140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1" thickBot="1">
      <c r="A2" s="4"/>
      <c r="B2" s="141" t="s">
        <v>62</v>
      </c>
      <c r="C2" s="4"/>
      <c r="D2" s="4"/>
      <c r="E2" s="4"/>
      <c r="F2" s="4"/>
      <c r="G2" s="4"/>
      <c r="H2" s="4"/>
      <c r="I2" s="140"/>
      <c r="J2" s="335" t="s">
        <v>63</v>
      </c>
      <c r="K2" s="336"/>
      <c r="L2" s="337"/>
      <c r="M2" s="4"/>
      <c r="N2" s="4"/>
      <c r="O2" s="4"/>
      <c r="P2" s="4"/>
      <c r="Q2" s="4"/>
      <c r="R2" s="4"/>
      <c r="S2" s="4"/>
      <c r="T2" s="4"/>
    </row>
    <row r="3" spans="1:20" ht="20">
      <c r="A3" s="4"/>
      <c r="B3" s="4"/>
      <c r="C3" s="4"/>
      <c r="D3" s="4"/>
      <c r="E3" s="4"/>
      <c r="F3" s="4"/>
      <c r="G3" s="4"/>
      <c r="H3" s="4"/>
      <c r="I3" s="140"/>
      <c r="J3" s="142"/>
      <c r="K3" s="142"/>
      <c r="L3" s="142"/>
      <c r="M3" s="4"/>
      <c r="N3" s="4"/>
      <c r="O3" s="4"/>
      <c r="P3" s="4"/>
      <c r="Q3" s="4"/>
      <c r="R3" s="4"/>
      <c r="S3" s="4"/>
      <c r="T3" s="4"/>
    </row>
    <row r="4" spans="1:20" ht="20">
      <c r="A4" s="4"/>
      <c r="B4" s="4"/>
      <c r="C4" s="4"/>
      <c r="D4" s="4"/>
      <c r="E4" s="4"/>
      <c r="F4" s="4"/>
      <c r="G4" s="4"/>
      <c r="H4" s="4"/>
      <c r="I4" s="140"/>
      <c r="J4" s="142"/>
      <c r="K4" s="142"/>
      <c r="L4" s="142"/>
      <c r="M4" s="4"/>
      <c r="N4" s="4"/>
      <c r="O4" s="4"/>
      <c r="P4" s="4"/>
      <c r="Q4" s="4"/>
      <c r="R4" s="4"/>
      <c r="S4" s="4"/>
      <c r="T4" s="4"/>
    </row>
    <row r="5" spans="1:20" ht="16" customHeight="1">
      <c r="A5" s="4"/>
      <c r="B5" s="4"/>
      <c r="C5" s="4"/>
      <c r="D5" s="4"/>
      <c r="E5" s="143"/>
      <c r="F5" s="144"/>
      <c r="G5" s="145" t="s">
        <v>64</v>
      </c>
      <c r="H5" s="146">
        <v>1</v>
      </c>
      <c r="I5" s="140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" customHeight="1" thickBot="1">
      <c r="A6" s="4"/>
      <c r="B6" s="4"/>
      <c r="C6" s="4"/>
      <c r="D6" s="4"/>
      <c r="E6" s="4"/>
      <c r="F6" s="4"/>
      <c r="G6" s="4"/>
      <c r="H6" s="4"/>
      <c r="I6" s="140"/>
      <c r="J6" s="15" t="s">
        <v>86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" customHeight="1">
      <c r="A7" s="4"/>
      <c r="B7" s="4"/>
      <c r="C7" s="4"/>
      <c r="D7" s="4"/>
      <c r="E7" s="4"/>
      <c r="F7" s="4"/>
      <c r="G7" s="4"/>
      <c r="H7" s="4"/>
      <c r="I7" s="140"/>
      <c r="J7" s="338" t="s">
        <v>65</v>
      </c>
      <c r="K7" s="339"/>
      <c r="L7" s="339"/>
      <c r="M7" s="147">
        <f>cmg</f>
        <v>330</v>
      </c>
      <c r="N7" s="148"/>
      <c r="O7" s="149"/>
      <c r="P7" s="4"/>
      <c r="Q7" s="4"/>
      <c r="R7" s="4"/>
      <c r="S7" s="4"/>
      <c r="T7" s="4"/>
    </row>
    <row r="8" spans="1:20" ht="16" customHeight="1">
      <c r="A8" s="4"/>
      <c r="B8" s="4"/>
      <c r="C8" s="4"/>
      <c r="D8" s="4"/>
      <c r="E8" s="4"/>
      <c r="F8" s="4"/>
      <c r="G8" s="4"/>
      <c r="H8" s="4"/>
      <c r="I8" s="140"/>
      <c r="J8" s="340" t="s">
        <v>66</v>
      </c>
      <c r="K8" s="341"/>
      <c r="L8" s="341"/>
      <c r="M8" s="150">
        <f>dmg</f>
        <v>16</v>
      </c>
      <c r="N8" s="151" t="s">
        <v>67</v>
      </c>
      <c r="O8" s="152"/>
      <c r="P8" s="4"/>
      <c r="Q8" s="4"/>
      <c r="R8" s="4"/>
      <c r="S8" s="4"/>
      <c r="T8" s="4"/>
    </row>
    <row r="9" spans="1:20" ht="16" customHeight="1">
      <c r="A9" s="4"/>
      <c r="B9" s="4"/>
      <c r="C9" s="4"/>
      <c r="D9" s="4"/>
      <c r="E9" s="4"/>
      <c r="F9" s="4"/>
      <c r="G9" s="4"/>
      <c r="H9" s="4"/>
      <c r="I9" s="140"/>
      <c r="J9" s="340" t="s">
        <v>68</v>
      </c>
      <c r="K9" s="341"/>
      <c r="L9" s="341"/>
      <c r="M9" s="150">
        <f>dmg*COS(RADIANS(cmg))</f>
        <v>13.856406460551014</v>
      </c>
      <c r="N9" s="153" t="s">
        <v>67</v>
      </c>
      <c r="O9" s="154">
        <f>M9/60</f>
        <v>0.23094010767585024</v>
      </c>
      <c r="P9" s="4"/>
      <c r="Q9" s="4"/>
      <c r="R9" s="155"/>
      <c r="S9" s="4"/>
      <c r="T9" s="4"/>
    </row>
    <row r="10" spans="1:20" ht="16" customHeight="1">
      <c r="A10" s="4"/>
      <c r="B10" s="4"/>
      <c r="C10" s="4"/>
      <c r="D10" s="4"/>
      <c r="E10" s="4"/>
      <c r="F10" s="4"/>
      <c r="G10" s="4"/>
      <c r="H10" s="4"/>
      <c r="I10" s="140"/>
      <c r="J10" s="340" t="s">
        <v>78</v>
      </c>
      <c r="K10" s="341"/>
      <c r="L10" s="341"/>
      <c r="M10" s="150">
        <f>dmg*SIN(RADIANS(cmg))</f>
        <v>-8.0000000000000071</v>
      </c>
      <c r="N10" s="153" t="s">
        <v>67</v>
      </c>
      <c r="O10" s="156">
        <f>M10/60/COS(RADIANS(lat))</f>
        <v>-0.16721858163261036</v>
      </c>
      <c r="P10" s="4"/>
      <c r="Q10" s="4"/>
      <c r="R10" s="155"/>
      <c r="S10" s="4"/>
      <c r="T10" s="4"/>
    </row>
    <row r="11" spans="1:20" ht="16" customHeight="1">
      <c r="A11" s="4"/>
      <c r="B11" s="4"/>
      <c r="C11" s="4"/>
      <c r="D11" s="4"/>
      <c r="E11" s="4"/>
      <c r="F11" s="4"/>
      <c r="G11" s="4"/>
      <c r="H11" s="4"/>
      <c r="I11" s="140"/>
      <c r="J11" s="157"/>
      <c r="K11" s="158"/>
      <c r="L11" s="159" t="s">
        <v>69</v>
      </c>
      <c r="M11" s="160">
        <f>ABS(H5)/40</f>
        <v>2.5000000000000001E-2</v>
      </c>
      <c r="N11" s="158"/>
      <c r="O11" s="161"/>
      <c r="P11" s="4"/>
      <c r="Q11" s="4"/>
      <c r="R11" s="4"/>
      <c r="S11" s="4"/>
      <c r="T11" s="4"/>
    </row>
    <row r="12" spans="1:20" ht="16" customHeight="1">
      <c r="A12" s="4"/>
      <c r="B12" s="4"/>
      <c r="C12" s="4"/>
      <c r="D12" s="4"/>
      <c r="E12" s="4"/>
      <c r="F12" s="4"/>
      <c r="G12" s="4"/>
      <c r="H12" s="4"/>
      <c r="I12" s="140"/>
      <c r="J12" s="162"/>
      <c r="K12" s="163"/>
      <c r="L12" s="164" t="s">
        <v>70</v>
      </c>
      <c r="M12" s="16" t="str">
        <f>IF(LHA°&gt;180,"E","W")</f>
        <v>E</v>
      </c>
      <c r="N12" s="163"/>
      <c r="O12" s="165"/>
      <c r="P12" s="4"/>
      <c r="Q12" s="4"/>
      <c r="R12" s="4"/>
      <c r="S12" s="4"/>
      <c r="T12" s="4"/>
    </row>
    <row r="13" spans="1:20" ht="16" customHeight="1" thickBot="1">
      <c r="A13" s="4"/>
      <c r="B13" s="4"/>
      <c r="C13" s="4"/>
      <c r="D13" s="4"/>
      <c r="E13" s="4"/>
      <c r="F13" s="4"/>
      <c r="G13" s="4"/>
      <c r="H13" s="4"/>
      <c r="I13" s="140"/>
      <c r="J13" s="166"/>
      <c r="K13" s="167"/>
      <c r="L13" s="168" t="s">
        <v>71</v>
      </c>
      <c r="M13" s="169" t="str">
        <f>IF(LHA°_&lt;180,"W","E")</f>
        <v>E</v>
      </c>
      <c r="N13" s="167"/>
      <c r="O13" s="170"/>
      <c r="P13" s="4"/>
      <c r="Q13" s="4"/>
      <c r="R13" s="4"/>
      <c r="S13" s="4"/>
      <c r="T13" s="4"/>
    </row>
    <row r="14" spans="1:20" ht="16" customHeight="1">
      <c r="A14" s="4"/>
      <c r="B14" s="4"/>
      <c r="C14" s="4"/>
      <c r="D14" s="4"/>
      <c r="E14" s="4"/>
      <c r="F14" s="4"/>
      <c r="G14" s="4"/>
      <c r="H14" s="4"/>
      <c r="I14" s="140"/>
      <c r="J14" s="4"/>
      <c r="K14" s="4"/>
      <c r="L14" s="4"/>
      <c r="M14" s="4"/>
      <c r="N14" s="4"/>
      <c r="O14" s="4"/>
      <c r="P14" s="4"/>
      <c r="Q14" s="4"/>
      <c r="R14" s="41"/>
      <c r="S14" s="4"/>
      <c r="T14" s="4"/>
    </row>
    <row r="15" spans="1:20" ht="16" customHeight="1" thickBot="1">
      <c r="A15" s="4"/>
      <c r="B15" s="4"/>
      <c r="C15" s="4"/>
      <c r="D15" s="4"/>
      <c r="E15" s="4"/>
      <c r="F15" s="4"/>
      <c r="G15" s="4"/>
      <c r="H15" s="4"/>
      <c r="I15" s="140"/>
      <c r="J15" s="15" t="s">
        <v>72</v>
      </c>
      <c r="K15" s="41"/>
      <c r="L15" s="41"/>
      <c r="M15" s="41"/>
      <c r="N15" s="41"/>
      <c r="O15" s="41"/>
      <c r="P15" s="41"/>
      <c r="Q15" s="41"/>
      <c r="R15" s="41"/>
      <c r="S15" s="4"/>
      <c r="T15" s="4"/>
    </row>
    <row r="16" spans="1:20" ht="16" customHeight="1" thickBot="1">
      <c r="A16" s="4"/>
      <c r="B16" s="4"/>
      <c r="C16" s="4"/>
      <c r="D16" s="4"/>
      <c r="E16" s="4"/>
      <c r="F16" s="4"/>
      <c r="G16" s="4"/>
      <c r="H16" s="4"/>
      <c r="I16" s="140"/>
      <c r="J16" s="171" t="s">
        <v>73</v>
      </c>
      <c r="K16" s="172" t="s">
        <v>79</v>
      </c>
      <c r="L16" s="208" t="s">
        <v>80</v>
      </c>
      <c r="M16" s="208" t="s">
        <v>81</v>
      </c>
      <c r="N16" s="208" t="s">
        <v>82</v>
      </c>
      <c r="O16" s="173" t="s">
        <v>83</v>
      </c>
      <c r="P16" s="173" t="s">
        <v>84</v>
      </c>
      <c r="Q16" s="174" t="s">
        <v>74</v>
      </c>
      <c r="R16" s="209" t="s">
        <v>85</v>
      </c>
      <c r="S16" s="4"/>
      <c r="T16" s="4"/>
    </row>
    <row r="17" spans="1:20" ht="16" customHeight="1">
      <c r="A17" s="4"/>
      <c r="B17" s="4"/>
      <c r="C17" s="4"/>
      <c r="D17" s="4"/>
      <c r="E17" s="4"/>
      <c r="F17" s="4"/>
      <c r="G17" s="4"/>
      <c r="H17" s="4"/>
      <c r="I17" s="140"/>
      <c r="J17" s="175"/>
      <c r="K17" s="176"/>
      <c r="L17" s="176"/>
      <c r="M17" s="176"/>
      <c r="N17" s="176"/>
      <c r="O17" s="177"/>
      <c r="P17" s="178"/>
      <c r="Q17" s="179"/>
      <c r="R17" s="180"/>
      <c r="S17" s="4"/>
      <c r="T17" s="4"/>
    </row>
    <row r="18" spans="1:20" ht="16" customHeight="1">
      <c r="A18" s="4"/>
      <c r="B18" s="4"/>
      <c r="C18" s="4"/>
      <c r="D18" s="4"/>
      <c r="E18" s="4"/>
      <c r="F18" s="4"/>
      <c r="G18" s="4"/>
      <c r="H18" s="4"/>
      <c r="I18" s="140"/>
      <c r="J18" s="181">
        <f>J19+$M$11</f>
        <v>37.505837168333102</v>
      </c>
      <c r="K18" s="182">
        <f t="shared" ref="K18:K58" si="0">RADIANS(J18)</f>
        <v>0.65460034730427941</v>
      </c>
      <c r="L18" s="182">
        <f>IFERROR(DEGREES(grt+IF(B="W",-1,1)*ACOS((SIN(h)-SIN(d)*SIN(K18))/COS(d)/COS(K18))),#N/A)</f>
        <v>341.50446888451609</v>
      </c>
      <c r="M18" s="182">
        <f>IFERROR(DEGREES(grt_+IF(B_="W",-1,1)*ACOS((SIN(h_)-SIN(d_)*SIN(K18))/COS(d_)/COS(K18))),#N/A)</f>
        <v>340.98578467529762</v>
      </c>
      <c r="N18" s="182">
        <f t="shared" ref="N18:N58" si="1">IFERROR(DEGREES(grt+IF(B="W",-1,1)*ACOS((SIN(hs)-SIN(d)*SIN(K18))/COS(d)/COS(K18))),#N/A)</f>
        <v>341.71090237429024</v>
      </c>
      <c r="O18" s="183">
        <f t="shared" ref="O18:Q40" si="2">IF(L18&lt;0,ABS(L18),IF(L18&gt;360,-(L18-360),IF(AND(L18&gt;180,L18&lt;360),360-L18,-L18)))</f>
        <v>18.495531115483914</v>
      </c>
      <c r="P18" s="184">
        <f>IF(M18&lt;0,ABS(M18),IF(M18&gt;360,-(M18-360),IF(AND(M18&gt;180,M18&lt;360),360-M18,-M18)))</f>
        <v>19.014215324702377</v>
      </c>
      <c r="Q18" s="185">
        <f>IF(N18&lt;0,ABS(N18),IF(N18&gt;360,-(N18-360),IF(AND(N18&gt;180,N18&lt;360),360-N18,-N18)))</f>
        <v>18.289097625709758</v>
      </c>
      <c r="R18" s="186"/>
      <c r="S18" s="4"/>
      <c r="T18" s="4"/>
    </row>
    <row r="19" spans="1:20" ht="16" customHeight="1">
      <c r="A19" s="4"/>
      <c r="B19" s="4"/>
      <c r="C19" s="4"/>
      <c r="D19" s="4"/>
      <c r="E19" s="4"/>
      <c r="F19" s="4"/>
      <c r="G19" s="4"/>
      <c r="H19" s="4"/>
      <c r="I19" s="140"/>
      <c r="J19" s="181">
        <f>J20+$M$11</f>
        <v>37.480837168333103</v>
      </c>
      <c r="K19" s="182">
        <f t="shared" si="0"/>
        <v>0.65416401499128085</v>
      </c>
      <c r="L19" s="182">
        <f t="shared" ref="L19:L42" si="3">IFERROR(DEGREES(grt+IF(B="W",-1,1)*ACOS((SIN(h)-SIN(d)*SIN(K19))/COS(d)/COS(K19))),#N/A)</f>
        <v>341.50877821931783</v>
      </c>
      <c r="M19" s="182">
        <f t="shared" ref="M19:M58" si="4">IFERROR(DEGREES(grt_+IF(B_="W",-1,1)*ACOS((SIN(h_)-SIN(d_)*SIN(K19))/COS(d_)/COS(K19))),#N/A)</f>
        <v>341.03985242378434</v>
      </c>
      <c r="N19" s="182">
        <f t="shared" si="1"/>
        <v>341.71512826622933</v>
      </c>
      <c r="O19" s="183">
        <f t="shared" si="2"/>
        <v>18.491221780682167</v>
      </c>
      <c r="P19" s="184">
        <f t="shared" si="2"/>
        <v>18.960147576215661</v>
      </c>
      <c r="Q19" s="185">
        <f t="shared" si="2"/>
        <v>18.284871733770672</v>
      </c>
      <c r="R19" s="186"/>
      <c r="S19" s="4"/>
      <c r="T19" s="4"/>
    </row>
    <row r="20" spans="1:20" ht="16" customHeight="1">
      <c r="A20" s="4"/>
      <c r="B20" s="4"/>
      <c r="C20" s="4"/>
      <c r="D20" s="4"/>
      <c r="E20" s="4"/>
      <c r="F20" s="4"/>
      <c r="G20" s="4"/>
      <c r="H20" s="4"/>
      <c r="I20" s="140"/>
      <c r="J20" s="181">
        <f t="shared" ref="J20:J35" si="5">J21+$M$11</f>
        <v>37.455837168333105</v>
      </c>
      <c r="K20" s="182">
        <f t="shared" si="0"/>
        <v>0.65372768267828218</v>
      </c>
      <c r="L20" s="182">
        <f t="shared" si="3"/>
        <v>341.51306957753206</v>
      </c>
      <c r="M20" s="182">
        <f t="shared" si="4"/>
        <v>341.09349783865366</v>
      </c>
      <c r="N20" s="182">
        <f t="shared" si="1"/>
        <v>341.71933633997418</v>
      </c>
      <c r="O20" s="183">
        <f t="shared" si="2"/>
        <v>18.486930422467935</v>
      </c>
      <c r="P20" s="184">
        <f t="shared" si="2"/>
        <v>18.906502161346339</v>
      </c>
      <c r="Q20" s="185">
        <f t="shared" si="2"/>
        <v>18.280663660025823</v>
      </c>
      <c r="R20" s="186"/>
      <c r="S20" s="4"/>
      <c r="T20" s="4"/>
    </row>
    <row r="21" spans="1:20" ht="16" customHeight="1">
      <c r="A21" s="4"/>
      <c r="B21" s="4"/>
      <c r="C21" s="4"/>
      <c r="D21" s="4"/>
      <c r="E21" s="4"/>
      <c r="F21" s="4"/>
      <c r="G21" s="4"/>
      <c r="H21" s="4"/>
      <c r="I21" s="140"/>
      <c r="J21" s="181">
        <f t="shared" si="5"/>
        <v>37.430837168333106</v>
      </c>
      <c r="K21" s="182">
        <f t="shared" si="0"/>
        <v>0.65329135036528363</v>
      </c>
      <c r="L21" s="182">
        <f t="shared" si="3"/>
        <v>341.51734298232157</v>
      </c>
      <c r="M21" s="182">
        <f t="shared" si="4"/>
        <v>341.14672808777976</v>
      </c>
      <c r="N21" s="182">
        <f t="shared" si="1"/>
        <v>341.72352661837704</v>
      </c>
      <c r="O21" s="183">
        <f t="shared" si="2"/>
        <v>18.482657017678434</v>
      </c>
      <c r="P21" s="184">
        <f t="shared" si="2"/>
        <v>18.853271912220237</v>
      </c>
      <c r="Q21" s="185">
        <f t="shared" si="2"/>
        <v>18.276473381622964</v>
      </c>
      <c r="R21" s="186"/>
      <c r="S21" s="4"/>
      <c r="T21" s="4"/>
    </row>
    <row r="22" spans="1:20" ht="16" customHeight="1">
      <c r="A22" s="4"/>
      <c r="B22" s="4"/>
      <c r="C22" s="4"/>
      <c r="D22" s="4"/>
      <c r="E22" s="4"/>
      <c r="F22" s="4"/>
      <c r="G22" s="4"/>
      <c r="H22" s="4"/>
      <c r="I22" s="140"/>
      <c r="J22" s="181">
        <f t="shared" si="5"/>
        <v>37.405837168333107</v>
      </c>
      <c r="K22" s="182">
        <f t="shared" si="0"/>
        <v>0.65285501805228507</v>
      </c>
      <c r="L22" s="182">
        <f t="shared" si="3"/>
        <v>341.52159845678437</v>
      </c>
      <c r="M22" s="182">
        <f t="shared" si="4"/>
        <v>341.19955012753042</v>
      </c>
      <c r="N22" s="182">
        <f t="shared" si="1"/>
        <v>341.72769912422626</v>
      </c>
      <c r="O22" s="183">
        <f t="shared" si="2"/>
        <v>18.478401543215625</v>
      </c>
      <c r="P22" s="184">
        <f t="shared" si="2"/>
        <v>18.800449872469585</v>
      </c>
      <c r="Q22" s="185">
        <f t="shared" si="2"/>
        <v>18.272300875773738</v>
      </c>
      <c r="R22" s="186"/>
      <c r="S22" s="4"/>
      <c r="T22" s="4"/>
    </row>
    <row r="23" spans="1:20" ht="16" customHeight="1">
      <c r="A23" s="4"/>
      <c r="B23" s="4"/>
      <c r="C23" s="4"/>
      <c r="D23" s="4"/>
      <c r="E23" s="4"/>
      <c r="F23" s="4"/>
      <c r="G23" s="4"/>
      <c r="H23" s="4"/>
      <c r="I23" s="140"/>
      <c r="J23" s="181">
        <f t="shared" si="5"/>
        <v>37.380837168333109</v>
      </c>
      <c r="K23" s="182">
        <f t="shared" si="0"/>
        <v>0.65241868573928652</v>
      </c>
      <c r="L23" s="182">
        <f t="shared" si="3"/>
        <v>341.5258360239535</v>
      </c>
      <c r="M23" s="182">
        <f t="shared" si="4"/>
        <v>341.25197071147647</v>
      </c>
      <c r="N23" s="182">
        <f t="shared" si="1"/>
        <v>341.73185388024621</v>
      </c>
      <c r="O23" s="183">
        <f t="shared" si="2"/>
        <v>18.474163976046498</v>
      </c>
      <c r="P23" s="184">
        <f t="shared" si="2"/>
        <v>18.748029288523526</v>
      </c>
      <c r="Q23" s="185">
        <f t="shared" si="2"/>
        <v>18.268146119753794</v>
      </c>
      <c r="R23" s="186"/>
      <c r="S23" s="4"/>
      <c r="T23" s="4"/>
    </row>
    <row r="24" spans="1:20" ht="16" customHeight="1">
      <c r="A24" s="4"/>
      <c r="B24" s="4"/>
      <c r="C24" s="4"/>
      <c r="D24" s="4"/>
      <c r="E24" s="4"/>
      <c r="F24" s="4"/>
      <c r="G24" s="4"/>
      <c r="H24" s="4"/>
      <c r="I24" s="140"/>
      <c r="J24" s="181">
        <f t="shared" si="5"/>
        <v>37.35583716833311</v>
      </c>
      <c r="K24" s="182">
        <f t="shared" si="0"/>
        <v>0.65198235342628796</v>
      </c>
      <c r="L24" s="182">
        <f t="shared" si="3"/>
        <v>341.53005570679738</v>
      </c>
      <c r="M24" s="182">
        <f t="shared" si="4"/>
        <v>341.30399639864589</v>
      </c>
      <c r="N24" s="182">
        <f t="shared" si="1"/>
        <v>341.73599090909789</v>
      </c>
      <c r="O24" s="183">
        <f t="shared" si="2"/>
        <v>18.469944293202616</v>
      </c>
      <c r="P24" s="184">
        <f t="shared" si="2"/>
        <v>18.696003601354107</v>
      </c>
      <c r="Q24" s="185">
        <f t="shared" si="2"/>
        <v>18.264009090902107</v>
      </c>
      <c r="R24" s="186"/>
      <c r="S24" s="4"/>
      <c r="T24" s="4"/>
    </row>
    <row r="25" spans="1:20" ht="16" customHeight="1">
      <c r="A25" s="4"/>
      <c r="B25" s="4"/>
      <c r="C25" s="4"/>
      <c r="D25" s="4"/>
      <c r="E25" s="4"/>
      <c r="F25" s="4"/>
      <c r="G25" s="4"/>
      <c r="H25" s="4"/>
      <c r="I25" s="80"/>
      <c r="J25" s="181">
        <f t="shared" si="5"/>
        <v>37.330837168333112</v>
      </c>
      <c r="K25" s="182">
        <f t="shared" si="0"/>
        <v>0.65154602111328941</v>
      </c>
      <c r="L25" s="182">
        <f t="shared" si="3"/>
        <v>341.53425752822011</v>
      </c>
      <c r="M25" s="182">
        <f t="shared" si="4"/>
        <v>341.35563356134833</v>
      </c>
      <c r="N25" s="182">
        <f t="shared" si="1"/>
        <v>341.74011023337869</v>
      </c>
      <c r="O25" s="183">
        <f t="shared" si="2"/>
        <v>18.46574247177989</v>
      </c>
      <c r="P25" s="184">
        <f t="shared" si="2"/>
        <v>18.644366438651673</v>
      </c>
      <c r="Q25" s="185">
        <f t="shared" si="2"/>
        <v>18.259889766621313</v>
      </c>
      <c r="R25" s="186"/>
      <c r="S25" s="4"/>
      <c r="T25" s="4"/>
    </row>
    <row r="26" spans="1:20" ht="16" customHeight="1">
      <c r="A26" s="4"/>
      <c r="B26" s="4"/>
      <c r="C26" s="4"/>
      <c r="D26" s="4"/>
      <c r="E26" s="4"/>
      <c r="F26" s="4"/>
      <c r="G26" s="4"/>
      <c r="H26" s="4"/>
      <c r="I26" s="140"/>
      <c r="J26" s="181">
        <f>J27+$M$11</f>
        <v>37.305837168333113</v>
      </c>
      <c r="K26" s="182">
        <f t="shared" si="0"/>
        <v>0.65110968880029085</v>
      </c>
      <c r="L26" s="182">
        <f t="shared" si="3"/>
        <v>341.53844151106142</v>
      </c>
      <c r="M26" s="182">
        <f t="shared" si="4"/>
        <v>341.40688839259849</v>
      </c>
      <c r="N26" s="182">
        <f t="shared" si="1"/>
        <v>341.74421187562291</v>
      </c>
      <c r="O26" s="183">
        <f t="shared" si="2"/>
        <v>18.461558488938579</v>
      </c>
      <c r="P26" s="184">
        <f t="shared" si="2"/>
        <v>18.593111607401511</v>
      </c>
      <c r="Q26" s="185">
        <f t="shared" si="2"/>
        <v>18.255788124377091</v>
      </c>
      <c r="R26" s="186"/>
      <c r="S26" s="4"/>
      <c r="T26" s="4"/>
    </row>
    <row r="27" spans="1:20" ht="16" customHeight="1">
      <c r="A27" s="4"/>
      <c r="B27" s="4"/>
      <c r="C27" s="4"/>
      <c r="D27" s="4"/>
      <c r="E27" s="4"/>
      <c r="F27" s="4"/>
      <c r="G27" s="4"/>
      <c r="H27" s="4"/>
      <c r="I27" s="140"/>
      <c r="J27" s="181">
        <f t="shared" si="5"/>
        <v>37.280837168333115</v>
      </c>
      <c r="K27" s="182">
        <f t="shared" si="0"/>
        <v>0.6506733564872923</v>
      </c>
      <c r="L27" s="182">
        <f t="shared" si="3"/>
        <v>341.54260767809717</v>
      </c>
      <c r="M27" s="182">
        <f t="shared" si="4"/>
        <v>341.45776691316337</v>
      </c>
      <c r="N27" s="182">
        <f t="shared" si="1"/>
        <v>341.74829585830167</v>
      </c>
      <c r="O27" s="183">
        <f t="shared" si="2"/>
        <v>18.45739232190283</v>
      </c>
      <c r="P27" s="184">
        <f t="shared" si="2"/>
        <v>18.542233086836632</v>
      </c>
      <c r="Q27" s="185">
        <f t="shared" si="2"/>
        <v>18.251704141698326</v>
      </c>
      <c r="R27" s="186"/>
      <c r="S27" s="4"/>
      <c r="T27" s="4"/>
    </row>
    <row r="28" spans="1:20" ht="16" customHeight="1">
      <c r="A28" s="4"/>
      <c r="B28" s="4"/>
      <c r="C28" s="4"/>
      <c r="D28" s="4"/>
      <c r="E28" s="4"/>
      <c r="F28" s="4"/>
      <c r="G28" s="4"/>
      <c r="H28" s="4"/>
      <c r="I28" s="140"/>
      <c r="J28" s="181">
        <f t="shared" si="5"/>
        <v>37.255837168333116</v>
      </c>
      <c r="K28" s="182">
        <f t="shared" si="0"/>
        <v>0.65023702417429374</v>
      </c>
      <c r="L28" s="182">
        <f t="shared" si="3"/>
        <v>341.54675605203914</v>
      </c>
      <c r="M28" s="182">
        <f t="shared" si="4"/>
        <v>341.50827497825577</v>
      </c>
      <c r="N28" s="182">
        <f t="shared" si="1"/>
        <v>341.75236220382345</v>
      </c>
      <c r="O28" s="183">
        <f t="shared" si="2"/>
        <v>18.453243947960857</v>
      </c>
      <c r="P28" s="184">
        <f t="shared" si="2"/>
        <v>18.49172502174423</v>
      </c>
      <c r="Q28" s="185">
        <f t="shared" si="2"/>
        <v>18.247637796176548</v>
      </c>
      <c r="R28" s="186"/>
      <c r="S28" s="4"/>
      <c r="T28" s="4"/>
    </row>
    <row r="29" spans="1:20" ht="16" customHeight="1">
      <c r="A29" s="4"/>
      <c r="B29" s="4"/>
      <c r="C29" s="4"/>
      <c r="D29" s="4"/>
      <c r="E29" s="4"/>
      <c r="F29" s="4"/>
      <c r="G29" s="4"/>
      <c r="H29" s="4"/>
      <c r="I29" s="140"/>
      <c r="J29" s="181">
        <f t="shared" si="5"/>
        <v>37.230837168333117</v>
      </c>
      <c r="K29" s="182">
        <f t="shared" si="0"/>
        <v>0.64980069186129519</v>
      </c>
      <c r="L29" s="182">
        <f t="shared" si="3"/>
        <v>341.55088665553563</v>
      </c>
      <c r="M29" s="182">
        <f t="shared" si="4"/>
        <v>341.55841828389606</v>
      </c>
      <c r="N29" s="182">
        <f t="shared" si="1"/>
        <v>341.75641093453407</v>
      </c>
      <c r="O29" s="183">
        <f t="shared" si="2"/>
        <v>18.449113344464365</v>
      </c>
      <c r="P29" s="184">
        <f t="shared" si="2"/>
        <v>18.44158171610394</v>
      </c>
      <c r="Q29" s="185">
        <f t="shared" si="2"/>
        <v>18.243589065465926</v>
      </c>
      <c r="R29" s="186"/>
      <c r="S29" s="4"/>
      <c r="T29" s="4"/>
    </row>
    <row r="30" spans="1:20" ht="16" customHeight="1">
      <c r="A30" s="4"/>
      <c r="B30" s="4"/>
      <c r="C30" s="4"/>
      <c r="D30" s="4"/>
      <c r="E30" s="4"/>
      <c r="F30" s="4"/>
      <c r="G30" s="4"/>
      <c r="H30" s="4"/>
      <c r="I30" s="140"/>
      <c r="J30" s="181">
        <f t="shared" si="5"/>
        <v>37.205837168333119</v>
      </c>
      <c r="K30" s="182">
        <f t="shared" si="0"/>
        <v>0.64936435954829663</v>
      </c>
      <c r="L30" s="182">
        <f t="shared" si="3"/>
        <v>341.55499951117133</v>
      </c>
      <c r="M30" s="182">
        <f t="shared" si="4"/>
        <v>341.60820237296167</v>
      </c>
      <c r="N30" s="182">
        <f t="shared" si="1"/>
        <v>341.7604420727165</v>
      </c>
      <c r="O30" s="183">
        <f t="shared" si="2"/>
        <v>18.445000488828668</v>
      </c>
      <c r="P30" s="184">
        <f t="shared" si="2"/>
        <v>18.391797627038329</v>
      </c>
      <c r="Q30" s="185">
        <f t="shared" si="2"/>
        <v>18.239557927283499</v>
      </c>
      <c r="R30" s="186"/>
      <c r="S30" s="4"/>
      <c r="T30" s="4"/>
    </row>
    <row r="31" spans="1:20" ht="16" customHeight="1">
      <c r="A31" s="4"/>
      <c r="B31" s="4"/>
      <c r="C31" s="4"/>
      <c r="D31" s="4"/>
      <c r="E31" s="4"/>
      <c r="F31" s="4"/>
      <c r="G31" s="4"/>
      <c r="H31" s="4"/>
      <c r="I31" s="140"/>
      <c r="J31" s="181">
        <f t="shared" si="5"/>
        <v>37.18083716833312</v>
      </c>
      <c r="K31" s="182">
        <f t="shared" si="0"/>
        <v>0.64892802723529808</v>
      </c>
      <c r="L31" s="182">
        <f t="shared" si="3"/>
        <v>341.55909464146765</v>
      </c>
      <c r="M31" s="182">
        <f t="shared" si="4"/>
        <v>341.65763264094375</v>
      </c>
      <c r="N31" s="182">
        <f t="shared" si="1"/>
        <v>341.7644556405919</v>
      </c>
      <c r="O31" s="183">
        <f t="shared" si="2"/>
        <v>18.440905358532348</v>
      </c>
      <c r="P31" s="184">
        <f t="shared" si="2"/>
        <v>18.342367359056254</v>
      </c>
      <c r="Q31" s="185">
        <f t="shared" si="2"/>
        <v>18.235544359408095</v>
      </c>
      <c r="R31" s="186"/>
      <c r="S31" s="4"/>
      <c r="T31" s="4"/>
    </row>
    <row r="32" spans="1:20" ht="16" customHeight="1">
      <c r="A32" s="4"/>
      <c r="B32" s="4"/>
      <c r="C32" s="4"/>
      <c r="D32" s="4"/>
      <c r="E32" s="4"/>
      <c r="F32" s="4"/>
      <c r="G32" s="4"/>
      <c r="H32" s="4"/>
      <c r="I32" s="140"/>
      <c r="J32" s="181">
        <f t="shared" si="5"/>
        <v>37.155837168333122</v>
      </c>
      <c r="K32" s="182">
        <f t="shared" si="0"/>
        <v>0.64849169492229952</v>
      </c>
      <c r="L32" s="182">
        <f t="shared" si="3"/>
        <v>341.56317206888292</v>
      </c>
      <c r="M32" s="182">
        <f t="shared" si="4"/>
        <v>341.70671434142679</v>
      </c>
      <c r="N32" s="182">
        <f t="shared" si="1"/>
        <v>341.76845166031899</v>
      </c>
      <c r="O32" s="183">
        <f t="shared" si="2"/>
        <v>18.43682793111708</v>
      </c>
      <c r="P32" s="184">
        <f t="shared" si="2"/>
        <v>18.293285658573211</v>
      </c>
      <c r="Q32" s="185">
        <f t="shared" si="2"/>
        <v>18.231548339681012</v>
      </c>
      <c r="R32" s="186"/>
      <c r="S32" s="4"/>
      <c r="T32" s="4"/>
    </row>
    <row r="33" spans="1:20" ht="16" customHeight="1">
      <c r="A33" s="4"/>
      <c r="B33" s="4"/>
      <c r="C33" s="4"/>
      <c r="D33" s="4"/>
      <c r="E33" s="4"/>
      <c r="F33" s="4"/>
      <c r="G33" s="4"/>
      <c r="H33" s="4"/>
      <c r="I33" s="140"/>
      <c r="J33" s="181">
        <f t="shared" si="5"/>
        <v>37.130837168333123</v>
      </c>
      <c r="K33" s="182">
        <f t="shared" si="0"/>
        <v>0.64805536260930097</v>
      </c>
      <c r="L33" s="182">
        <f t="shared" si="3"/>
        <v>341.56723181581259</v>
      </c>
      <c r="M33" s="182">
        <f t="shared" si="4"/>
        <v>341.75545259130877</v>
      </c>
      <c r="N33" s="182">
        <f t="shared" si="1"/>
        <v>341.77243015399472</v>
      </c>
      <c r="O33" s="183">
        <f t="shared" si="2"/>
        <v>18.43276818418741</v>
      </c>
      <c r="P33" s="184">
        <f t="shared" si="2"/>
        <v>18.244547408691233</v>
      </c>
      <c r="Q33" s="185">
        <f t="shared" si="2"/>
        <v>18.227569846005281</v>
      </c>
      <c r="R33" s="186"/>
      <c r="S33" s="4"/>
      <c r="T33" s="4"/>
    </row>
    <row r="34" spans="1:20" ht="16" customHeight="1">
      <c r="A34" s="4"/>
      <c r="B34" s="4"/>
      <c r="C34" s="4"/>
      <c r="D34" s="4"/>
      <c r="E34" s="4"/>
      <c r="F34" s="4"/>
      <c r="G34" s="4"/>
      <c r="H34" s="4"/>
      <c r="I34" s="140"/>
      <c r="J34" s="181">
        <f t="shared" si="5"/>
        <v>37.105837168333125</v>
      </c>
      <c r="K34" s="182">
        <f t="shared" si="0"/>
        <v>0.64761903029630241</v>
      </c>
      <c r="L34" s="182">
        <f t="shared" si="3"/>
        <v>341.57127390458925</v>
      </c>
      <c r="M34" s="182">
        <f t="shared" si="4"/>
        <v>341.80385237577536</v>
      </c>
      <c r="N34" s="182">
        <f t="shared" si="1"/>
        <v>341.77639114365417</v>
      </c>
      <c r="O34" s="183">
        <f t="shared" si="2"/>
        <v>18.428726095410752</v>
      </c>
      <c r="P34" s="184">
        <f t="shared" si="2"/>
        <v>18.196147624224636</v>
      </c>
      <c r="Q34" s="185">
        <f t="shared" si="2"/>
        <v>18.223608856345834</v>
      </c>
      <c r="R34" s="186"/>
      <c r="S34" s="4"/>
      <c r="T34" s="4"/>
    </row>
    <row r="35" spans="1:20" ht="16" customHeight="1">
      <c r="A35" s="4"/>
      <c r="B35" s="4"/>
      <c r="C35" s="4"/>
      <c r="D35" s="4"/>
      <c r="E35" s="4"/>
      <c r="F35" s="4"/>
      <c r="G35" s="4"/>
      <c r="H35" s="4"/>
      <c r="I35" s="140"/>
      <c r="J35" s="181">
        <f t="shared" si="5"/>
        <v>37.080837168333126</v>
      </c>
      <c r="K35" s="182">
        <f t="shared" si="0"/>
        <v>0.64718269798330386</v>
      </c>
      <c r="L35" s="182">
        <f t="shared" si="3"/>
        <v>341.57529835748306</v>
      </c>
      <c r="M35" s="182">
        <f t="shared" si="4"/>
        <v>341.85191855304379</v>
      </c>
      <c r="N35" s="182">
        <f t="shared" si="1"/>
        <v>341.78033465127095</v>
      </c>
      <c r="O35" s="183">
        <f t="shared" si="2"/>
        <v>18.424701642516936</v>
      </c>
      <c r="P35" s="184">
        <f t="shared" si="2"/>
        <v>18.148081446956212</v>
      </c>
      <c r="Q35" s="185">
        <f t="shared" si="2"/>
        <v>18.219665348729052</v>
      </c>
      <c r="R35" s="186"/>
      <c r="S35" s="4"/>
      <c r="T35" s="4"/>
    </row>
    <row r="36" spans="1:20">
      <c r="A36" s="4"/>
      <c r="B36" s="4"/>
      <c r="C36" s="4"/>
      <c r="D36" s="4"/>
      <c r="E36" s="4"/>
      <c r="F36" s="4"/>
      <c r="G36" s="4"/>
      <c r="H36" s="4"/>
      <c r="I36" s="140"/>
      <c r="J36" s="181">
        <f>J37+$M$11</f>
        <v>37.055837168333127</v>
      </c>
      <c r="K36" s="182">
        <f t="shared" si="0"/>
        <v>0.6467463656703053</v>
      </c>
      <c r="L36" s="182">
        <f t="shared" si="3"/>
        <v>341.57930519670168</v>
      </c>
      <c r="M36" s="182">
        <f t="shared" si="4"/>
        <v>341.89965585888808</v>
      </c>
      <c r="N36" s="182">
        <f t="shared" si="1"/>
        <v>341.78426069875718</v>
      </c>
      <c r="O36" s="183">
        <f t="shared" si="2"/>
        <v>18.420694803298318</v>
      </c>
      <c r="P36" s="184">
        <f t="shared" si="2"/>
        <v>18.100344141111918</v>
      </c>
      <c r="Q36" s="185">
        <f t="shared" si="2"/>
        <v>18.21573930124282</v>
      </c>
      <c r="R36" s="186"/>
      <c r="S36" s="4"/>
      <c r="T36" s="4"/>
    </row>
    <row r="37" spans="1:20">
      <c r="A37" s="4"/>
      <c r="B37" s="4"/>
      <c r="C37" s="4"/>
      <c r="D37" s="4"/>
      <c r="E37" s="4"/>
      <c r="F37" s="4"/>
      <c r="G37" s="4"/>
      <c r="H37" s="4"/>
      <c r="I37" s="140"/>
      <c r="J37" s="181">
        <f>J38+$M$11</f>
        <v>37.030837168333129</v>
      </c>
      <c r="K37" s="182">
        <f>RADIANS(J37)</f>
        <v>0.64631003335730675</v>
      </c>
      <c r="L37" s="182">
        <f t="shared" si="3"/>
        <v>341.58329444439073</v>
      </c>
      <c r="M37" s="182">
        <f t="shared" si="4"/>
        <v>341.947068910957</v>
      </c>
      <c r="N37" s="182">
        <f t="shared" si="1"/>
        <v>341.78816930796393</v>
      </c>
      <c r="O37" s="183">
        <f t="shared" si="2"/>
        <v>18.416705555609269</v>
      </c>
      <c r="P37" s="184">
        <f t="shared" si="2"/>
        <v>18.052931089043</v>
      </c>
      <c r="Q37" s="185">
        <f t="shared" si="2"/>
        <v>18.211830692036074</v>
      </c>
      <c r="R37" s="186"/>
      <c r="S37" s="4"/>
      <c r="T37" s="4"/>
    </row>
    <row r="38" spans="1:20">
      <c r="A38" s="4"/>
      <c r="B38" s="4"/>
      <c r="C38" s="4"/>
      <c r="D38" s="4"/>
      <c r="E38" s="4"/>
      <c r="F38" s="4"/>
      <c r="G38" s="4"/>
      <c r="H38" s="4"/>
      <c r="I38" s="140"/>
      <c r="J38" s="187">
        <f>lat-vb/2</f>
        <v>37.00583716833313</v>
      </c>
      <c r="K38" s="188">
        <f>RADIANS(J38)</f>
        <v>0.64587370104430819</v>
      </c>
      <c r="L38" s="188">
        <f t="shared" si="3"/>
        <v>341.58726612263365</v>
      </c>
      <c r="M38" s="188">
        <f t="shared" si="4"/>
        <v>341.99416221290016</v>
      </c>
      <c r="N38" s="188">
        <f t="shared" si="1"/>
        <v>341.79206050068098</v>
      </c>
      <c r="O38" s="189">
        <f>IF(L38&lt;0,ABS(L38),IF(L38&gt;360,-(L38-360),IF(AND(L38&gt;180,L38&lt;360),360-L38,-L38)))</f>
        <v>18.41273387736635</v>
      </c>
      <c r="P38" s="190">
        <f t="shared" si="2"/>
        <v>18.005837787099836</v>
      </c>
      <c r="Q38" s="191">
        <f t="shared" si="2"/>
        <v>18.207939499319025</v>
      </c>
      <c r="R38" s="186"/>
      <c r="S38" s="4"/>
      <c r="T38" s="4"/>
    </row>
    <row r="39" spans="1:20">
      <c r="A39" s="4"/>
      <c r="B39" s="4"/>
      <c r="C39" s="4"/>
      <c r="D39" s="4"/>
      <c r="E39" s="4"/>
      <c r="F39" s="4"/>
      <c r="G39" s="4"/>
      <c r="H39" s="4"/>
      <c r="I39" s="140"/>
      <c r="J39" s="181">
        <f t="shared" ref="J39:J58" si="6">J38-$M$11</f>
        <v>36.980837168333132</v>
      </c>
      <c r="K39" s="182">
        <f t="shared" si="0"/>
        <v>0.64543736873130964</v>
      </c>
      <c r="L39" s="182">
        <f t="shared" si="3"/>
        <v>341.59122025345215</v>
      </c>
      <c r="M39" s="182">
        <f t="shared" si="4"/>
        <v>342.04094015830719</v>
      </c>
      <c r="N39" s="182">
        <f t="shared" si="1"/>
        <v>341.79593429863746</v>
      </c>
      <c r="O39" s="183">
        <f t="shared" si="2"/>
        <v>18.40877974654785</v>
      </c>
      <c r="P39" s="184">
        <f t="shared" si="2"/>
        <v>17.959059841692806</v>
      </c>
      <c r="Q39" s="185">
        <f t="shared" si="2"/>
        <v>18.204065701362538</v>
      </c>
      <c r="R39" s="186"/>
      <c r="S39" s="4"/>
      <c r="T39" s="4"/>
    </row>
    <row r="40" spans="1:20">
      <c r="A40" s="4"/>
      <c r="B40" s="4"/>
      <c r="C40" s="4"/>
      <c r="D40" s="4"/>
      <c r="E40" s="4"/>
      <c r="F40" s="4"/>
      <c r="G40" s="4"/>
      <c r="H40" s="4"/>
      <c r="I40" s="140"/>
      <c r="J40" s="181">
        <f t="shared" si="6"/>
        <v>36.955837168333133</v>
      </c>
      <c r="K40" s="182">
        <f t="shared" si="0"/>
        <v>0.64500103641831108</v>
      </c>
      <c r="L40" s="182">
        <f t="shared" si="3"/>
        <v>341.59515685880632</v>
      </c>
      <c r="M40" s="182">
        <f t="shared" si="4"/>
        <v>342.08740703447415</v>
      </c>
      <c r="N40" s="182">
        <f t="shared" si="1"/>
        <v>341.79979072350176</v>
      </c>
      <c r="O40" s="183">
        <f t="shared" si="2"/>
        <v>18.40484314119368</v>
      </c>
      <c r="P40" s="184">
        <f t="shared" si="2"/>
        <v>17.912592965525846</v>
      </c>
      <c r="Q40" s="185">
        <f t="shared" si="2"/>
        <v>18.200209276498242</v>
      </c>
      <c r="R40" s="186"/>
      <c r="S40" s="4"/>
      <c r="T40" s="4"/>
    </row>
    <row r="41" spans="1:20">
      <c r="A41" s="4"/>
      <c r="B41" s="4"/>
      <c r="C41" s="4"/>
      <c r="D41" s="4"/>
      <c r="E41" s="4"/>
      <c r="F41" s="4"/>
      <c r="G41" s="4"/>
      <c r="H41" s="4"/>
      <c r="I41" s="140"/>
      <c r="J41" s="181">
        <f t="shared" si="6"/>
        <v>36.930837168333134</v>
      </c>
      <c r="K41" s="182">
        <f t="shared" si="0"/>
        <v>0.64456470410531252</v>
      </c>
      <c r="L41" s="182">
        <f t="shared" si="3"/>
        <v>341.59907596059469</v>
      </c>
      <c r="M41" s="182">
        <f t="shared" si="4"/>
        <v>342.13356702600538</v>
      </c>
      <c r="N41" s="182">
        <f t="shared" si="1"/>
        <v>341.80362979688181</v>
      </c>
      <c r="O41" s="183">
        <f t="shared" ref="O41:Q58" si="7">IF(L41&lt;0,ABS(L41),IF(L41&gt;360,-(L41-360),IF(AND(L41&gt;180,L41&lt;360),360-L41,-L41)))</f>
        <v>18.400924039405311</v>
      </c>
      <c r="P41" s="184">
        <f t="shared" si="7"/>
        <v>17.86643297399462</v>
      </c>
      <c r="Q41" s="185">
        <f t="shared" si="7"/>
        <v>18.196370203118192</v>
      </c>
      <c r="R41" s="186"/>
      <c r="S41" s="4"/>
      <c r="T41" s="4"/>
    </row>
    <row r="42" spans="1:20">
      <c r="A42" s="4"/>
      <c r="B42" s="4"/>
      <c r="C42" s="4"/>
      <c r="D42" s="4"/>
      <c r="E42" s="4"/>
      <c r="F42" s="4"/>
      <c r="G42" s="4"/>
      <c r="H42" s="4"/>
      <c r="I42" s="80"/>
      <c r="J42" s="181">
        <f t="shared" si="6"/>
        <v>36.905837168333136</v>
      </c>
      <c r="K42" s="182">
        <f t="shared" si="0"/>
        <v>0.64412837179231397</v>
      </c>
      <c r="L42" s="182">
        <f t="shared" si="3"/>
        <v>341.60297758065457</v>
      </c>
      <c r="M42" s="182">
        <f t="shared" si="4"/>
        <v>342.17942421825859</v>
      </c>
      <c r="N42" s="182">
        <f t="shared" si="1"/>
        <v>341.80745154032508</v>
      </c>
      <c r="O42" s="183">
        <f t="shared" si="7"/>
        <v>18.397022419345433</v>
      </c>
      <c r="P42" s="184">
        <f t="shared" si="7"/>
        <v>17.820575781741411</v>
      </c>
      <c r="Q42" s="185">
        <f t="shared" si="7"/>
        <v>18.192548459674924</v>
      </c>
      <c r="R42" s="186"/>
      <c r="S42" s="4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140"/>
      <c r="J43" s="181">
        <f t="shared" si="6"/>
        <v>36.880837168333137</v>
      </c>
      <c r="K43" s="182">
        <f t="shared" si="0"/>
        <v>0.64369203947931541</v>
      </c>
      <c r="L43" s="182">
        <f t="shared" ref="L43:L58" si="8">IFERROR(DEGREES(grt+IF(B="W",-1,1)*ACOS((SIN(h)-SIN(d)*SIN(K43))/COS(d)/COS(K43))),#N/A)</f>
        <v>341.60686174076216</v>
      </c>
      <c r="M43" s="182">
        <f t="shared" si="4"/>
        <v>342.22498260064287</v>
      </c>
      <c r="N43" s="182">
        <f t="shared" si="1"/>
        <v>341.81125597531894</v>
      </c>
      <c r="O43" s="183">
        <f t="shared" si="7"/>
        <v>18.393138259237844</v>
      </c>
      <c r="P43" s="184">
        <f t="shared" si="7"/>
        <v>17.775017399357125</v>
      </c>
      <c r="Q43" s="185">
        <f t="shared" si="7"/>
        <v>18.188744024681057</v>
      </c>
      <c r="R43" s="186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140"/>
      <c r="J44" s="181">
        <f t="shared" si="6"/>
        <v>36.855837168333139</v>
      </c>
      <c r="K44" s="182">
        <f t="shared" si="0"/>
        <v>0.64325570716631686</v>
      </c>
      <c r="L44" s="182">
        <f t="shared" si="8"/>
        <v>341.61072846263261</v>
      </c>
      <c r="M44" s="182">
        <f t="shared" si="4"/>
        <v>342.27024606977568</v>
      </c>
      <c r="N44" s="182">
        <f t="shared" si="1"/>
        <v>341.81504312329082</v>
      </c>
      <c r="O44" s="183">
        <f t="shared" si="7"/>
        <v>18.389271537367392</v>
      </c>
      <c r="P44" s="184">
        <f t="shared" si="7"/>
        <v>17.729753930224319</v>
      </c>
      <c r="Q44" s="185">
        <f t="shared" si="7"/>
        <v>18.18495687670918</v>
      </c>
      <c r="R44" s="186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140"/>
      <c r="J45" s="181">
        <f t="shared" si="6"/>
        <v>36.83083716833314</v>
      </c>
      <c r="K45" s="182">
        <f t="shared" si="0"/>
        <v>0.6428193748533183</v>
      </c>
      <c r="L45" s="182">
        <f t="shared" si="8"/>
        <v>341.61457776792042</v>
      </c>
      <c r="M45" s="182">
        <f t="shared" si="4"/>
        <v>342.31521843250778</v>
      </c>
      <c r="N45" s="182">
        <f t="shared" si="1"/>
        <v>341.81881300560838</v>
      </c>
      <c r="O45" s="183">
        <f t="shared" si="7"/>
        <v>18.385422232079577</v>
      </c>
      <c r="P45" s="184">
        <f t="shared" si="7"/>
        <v>17.684781567492223</v>
      </c>
      <c r="Q45" s="185">
        <f t="shared" si="7"/>
        <v>18.181186994391624</v>
      </c>
      <c r="R45" s="186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140"/>
      <c r="J46" s="181">
        <f t="shared" si="6"/>
        <v>36.805837168333142</v>
      </c>
      <c r="K46" s="182">
        <f t="shared" si="0"/>
        <v>0.64238304254031975</v>
      </c>
      <c r="L46" s="182">
        <f t="shared" si="8"/>
        <v>341.61840967821956</v>
      </c>
      <c r="M46" s="182">
        <f t="shared" si="4"/>
        <v>342.35990340882171</v>
      </c>
      <c r="N46" s="182">
        <f t="shared" si="1"/>
        <v>341.82256564357948</v>
      </c>
      <c r="O46" s="183">
        <f t="shared" si="7"/>
        <v>18.381590321780436</v>
      </c>
      <c r="P46" s="184">
        <f t="shared" si="7"/>
        <v>17.640096591178292</v>
      </c>
      <c r="Q46" s="185">
        <f t="shared" si="7"/>
        <v>18.17743435642052</v>
      </c>
      <c r="R46" s="186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140"/>
      <c r="J47" s="181">
        <f t="shared" si="6"/>
        <v>36.780837168333143</v>
      </c>
      <c r="K47" s="182">
        <f t="shared" si="0"/>
        <v>0.64194671022732119</v>
      </c>
      <c r="L47" s="182">
        <f t="shared" si="8"/>
        <v>341.62222421506351</v>
      </c>
      <c r="M47" s="182">
        <f t="shared" si="4"/>
        <v>342.40430463461007</v>
      </c>
      <c r="N47" s="182">
        <f t="shared" si="1"/>
        <v>341.8263010584526</v>
      </c>
      <c r="O47" s="183">
        <f t="shared" si="7"/>
        <v>18.377775784936489</v>
      </c>
      <c r="P47" s="184">
        <f t="shared" si="7"/>
        <v>17.595695365389929</v>
      </c>
      <c r="Q47" s="185">
        <f t="shared" si="7"/>
        <v>18.1736989415474</v>
      </c>
      <c r="R47" s="186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140"/>
      <c r="J48" s="181">
        <f t="shared" si="6"/>
        <v>36.755837168333144</v>
      </c>
      <c r="K48" s="182">
        <f t="shared" si="0"/>
        <v>0.64151037791432264</v>
      </c>
      <c r="L48" s="182">
        <f t="shared" si="8"/>
        <v>341.62602139992549</v>
      </c>
      <c r="M48" s="182">
        <f t="shared" si="4"/>
        <v>342.4484256643409</v>
      </c>
      <c r="N48" s="182">
        <f t="shared" si="1"/>
        <v>341.83001927141703</v>
      </c>
      <c r="O48" s="183">
        <f t="shared" si="7"/>
        <v>18.373978600074508</v>
      </c>
      <c r="P48" s="184">
        <f t="shared" si="7"/>
        <v>17.551574335659097</v>
      </c>
      <c r="Q48" s="185">
        <f t="shared" si="7"/>
        <v>18.169980728582971</v>
      </c>
      <c r="R48" s="186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140"/>
      <c r="J49" s="181">
        <f t="shared" si="6"/>
        <v>36.730837168333146</v>
      </c>
      <c r="K49" s="182">
        <f t="shared" si="0"/>
        <v>0.64107404560132408</v>
      </c>
      <c r="L49" s="182">
        <f t="shared" si="8"/>
        <v>341.62980125421859</v>
      </c>
      <c r="M49" s="182">
        <f t="shared" si="4"/>
        <v>342.49226997361444</v>
      </c>
      <c r="N49" s="182">
        <f t="shared" si="1"/>
        <v>341.83372030360272</v>
      </c>
      <c r="O49" s="183">
        <f t="shared" si="7"/>
        <v>18.370198745781408</v>
      </c>
      <c r="P49" s="184">
        <f t="shared" si="7"/>
        <v>17.507730026385559</v>
      </c>
      <c r="Q49" s="185">
        <f t="shared" si="7"/>
        <v>18.166279696397282</v>
      </c>
      <c r="R49" s="186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140"/>
      <c r="J50" s="181">
        <f t="shared" si="6"/>
        <v>36.705837168333147</v>
      </c>
      <c r="K50" s="182">
        <f t="shared" si="0"/>
        <v>0.64063771328832553</v>
      </c>
      <c r="L50" s="182">
        <f t="shared" si="8"/>
        <v>341.63356379929627</v>
      </c>
      <c r="M50" s="182">
        <f t="shared" si="4"/>
        <v>342.535840961617</v>
      </c>
      <c r="N50" s="182">
        <f t="shared" si="1"/>
        <v>341.8374041760809</v>
      </c>
      <c r="O50" s="183">
        <f t="shared" si="7"/>
        <v>18.366436200703731</v>
      </c>
      <c r="P50" s="184">
        <f t="shared" si="7"/>
        <v>17.464159038383002</v>
      </c>
      <c r="Q50" s="185">
        <f t="shared" si="7"/>
        <v>18.162595823919105</v>
      </c>
      <c r="R50" s="186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140"/>
      <c r="J51" s="181">
        <f t="shared" si="6"/>
        <v>36.680837168333149</v>
      </c>
      <c r="K51" s="182">
        <f t="shared" si="0"/>
        <v>0.64020138097532697</v>
      </c>
      <c r="L51" s="182">
        <f t="shared" si="8"/>
        <v>341.63730905645212</v>
      </c>
      <c r="M51" s="182">
        <f t="shared" si="4"/>
        <v>342.57914195347735</v>
      </c>
      <c r="N51" s="182">
        <f t="shared" si="1"/>
        <v>341.84107090986379</v>
      </c>
      <c r="O51" s="183">
        <f t="shared" si="7"/>
        <v>18.362690943547875</v>
      </c>
      <c r="P51" s="184">
        <f t="shared" si="7"/>
        <v>17.420858046522653</v>
      </c>
      <c r="Q51" s="185">
        <f t="shared" si="7"/>
        <v>18.158929090136212</v>
      </c>
      <c r="R51" s="186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140"/>
      <c r="J52" s="181">
        <f t="shared" si="6"/>
        <v>36.65583716833315</v>
      </c>
      <c r="K52" s="182">
        <f t="shared" si="0"/>
        <v>0.63976504866232842</v>
      </c>
      <c r="L52" s="182">
        <f t="shared" si="8"/>
        <v>341.64103704692013</v>
      </c>
      <c r="M52" s="182">
        <f t="shared" si="4"/>
        <v>342.62217620253034</v>
      </c>
      <c r="N52" s="182">
        <f t="shared" si="1"/>
        <v>341.84472052590507</v>
      </c>
      <c r="O52" s="183">
        <f t="shared" si="7"/>
        <v>18.358962953079867</v>
      </c>
      <c r="P52" s="184">
        <f t="shared" si="7"/>
        <v>17.377823797469659</v>
      </c>
      <c r="Q52" s="185">
        <f t="shared" si="7"/>
        <v>18.155279474094925</v>
      </c>
      <c r="R52" s="186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140"/>
      <c r="J53" s="181">
        <f t="shared" si="6"/>
        <v>36.630837168333152</v>
      </c>
      <c r="K53" s="182">
        <f t="shared" si="0"/>
        <v>0.63932871634932986</v>
      </c>
      <c r="L53" s="182">
        <f t="shared" si="8"/>
        <v>341.64474779187498</v>
      </c>
      <c r="M53" s="182">
        <f t="shared" si="4"/>
        <v>342.66494689249112</v>
      </c>
      <c r="N53" s="182">
        <f t="shared" si="1"/>
        <v>341.84835304510005</v>
      </c>
      <c r="O53" s="183">
        <f t="shared" si="7"/>
        <v>18.355252208125023</v>
      </c>
      <c r="P53" s="184">
        <f t="shared" si="7"/>
        <v>17.335053107508884</v>
      </c>
      <c r="Q53" s="185">
        <f t="shared" si="7"/>
        <v>18.151646954899945</v>
      </c>
      <c r="R53" s="186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140"/>
      <c r="J54" s="181">
        <f t="shared" si="6"/>
        <v>36.605837168333153</v>
      </c>
      <c r="K54" s="182">
        <f t="shared" si="0"/>
        <v>0.63889238403633131</v>
      </c>
      <c r="L54" s="182">
        <f t="shared" si="8"/>
        <v>341.64844131243211</v>
      </c>
      <c r="M54" s="182">
        <f t="shared" si="4"/>
        <v>342.70745713954574</v>
      </c>
      <c r="N54" s="182">
        <f t="shared" si="1"/>
        <v>341.85196848828571</v>
      </c>
      <c r="O54" s="183">
        <f t="shared" si="7"/>
        <v>18.351558687567888</v>
      </c>
      <c r="P54" s="184">
        <f t="shared" si="7"/>
        <v>17.292542860454262</v>
      </c>
      <c r="Q54" s="185">
        <f t="shared" si="7"/>
        <v>18.148031511714294</v>
      </c>
      <c r="R54" s="186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140"/>
      <c r="J55" s="181">
        <f t="shared" si="6"/>
        <v>36.580837168333154</v>
      </c>
      <c r="K55" s="182">
        <f t="shared" si="0"/>
        <v>0.63845605172333275</v>
      </c>
      <c r="L55" s="182">
        <f t="shared" si="8"/>
        <v>341.65211762964805</v>
      </c>
      <c r="M55" s="182">
        <f t="shared" si="4"/>
        <v>342.74970999436113</v>
      </c>
      <c r="N55" s="182">
        <f t="shared" si="1"/>
        <v>341.85556687624086</v>
      </c>
      <c r="O55" s="183">
        <f t="shared" si="7"/>
        <v>18.347882370351954</v>
      </c>
      <c r="P55" s="184">
        <f t="shared" si="7"/>
        <v>17.250290005638874</v>
      </c>
      <c r="Q55" s="185">
        <f t="shared" si="7"/>
        <v>18.144433123759143</v>
      </c>
      <c r="R55" s="186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140"/>
      <c r="J56" s="181">
        <f t="shared" si="6"/>
        <v>36.555837168333156</v>
      </c>
      <c r="K56" s="182">
        <f t="shared" si="0"/>
        <v>0.6380197194103342</v>
      </c>
      <c r="L56" s="182">
        <f t="shared" si="8"/>
        <v>341.6557767645204</v>
      </c>
      <c r="M56" s="182">
        <f t="shared" si="4"/>
        <v>342.7917084440183</v>
      </c>
      <c r="N56" s="182">
        <f t="shared" si="1"/>
        <v>341.85914822968641</v>
      </c>
      <c r="O56" s="183">
        <f t="shared" si="7"/>
        <v>18.344223235479603</v>
      </c>
      <c r="P56" s="184">
        <f t="shared" si="7"/>
        <v>17.208291555981702</v>
      </c>
      <c r="Q56" s="185">
        <f t="shared" si="7"/>
        <v>18.140851770313589</v>
      </c>
      <c r="R56" s="186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140"/>
      <c r="J57" s="181">
        <f t="shared" si="6"/>
        <v>36.530837168333157</v>
      </c>
      <c r="K57" s="182">
        <f t="shared" si="0"/>
        <v>0.63758338709733564</v>
      </c>
      <c r="L57" s="182">
        <f t="shared" si="8"/>
        <v>341.65941873798789</v>
      </c>
      <c r="M57" s="182">
        <f t="shared" si="4"/>
        <v>342.83345541387263</v>
      </c>
      <c r="N57" s="182">
        <f t="shared" si="1"/>
        <v>341.86271256928541</v>
      </c>
      <c r="O57" s="183">
        <f t="shared" si="7"/>
        <v>18.340581262012108</v>
      </c>
      <c r="P57" s="184">
        <f t="shared" si="7"/>
        <v>17.166544586127372</v>
      </c>
      <c r="Q57" s="185">
        <f t="shared" si="7"/>
        <v>18.137287430714593</v>
      </c>
      <c r="R57" s="186"/>
      <c r="S57" s="4"/>
      <c r="T57" s="4"/>
    </row>
    <row r="58" spans="1:20" ht="17" thickBot="1">
      <c r="A58" s="4"/>
      <c r="B58" s="4"/>
      <c r="C58" s="4"/>
      <c r="D58" s="4"/>
      <c r="E58" s="4"/>
      <c r="F58" s="4"/>
      <c r="G58" s="4"/>
      <c r="H58" s="4"/>
      <c r="I58" s="140"/>
      <c r="J58" s="181">
        <f t="shared" si="6"/>
        <v>36.505837168333159</v>
      </c>
      <c r="K58" s="182">
        <f t="shared" si="0"/>
        <v>0.63714705478433709</v>
      </c>
      <c r="L58" s="182">
        <f t="shared" si="8"/>
        <v>341.66304357093105</v>
      </c>
      <c r="M58" s="182">
        <f t="shared" si="4"/>
        <v>342.87495376934436</v>
      </c>
      <c r="N58" s="182">
        <f t="shared" si="1"/>
        <v>341.86625991564335</v>
      </c>
      <c r="O58" s="183">
        <f t="shared" si="7"/>
        <v>18.336956429068948</v>
      </c>
      <c r="P58" s="184">
        <f t="shared" si="7"/>
        <v>17.125046230655641</v>
      </c>
      <c r="Q58" s="185">
        <f t="shared" si="7"/>
        <v>18.133740084356646</v>
      </c>
      <c r="R58" s="192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140"/>
      <c r="J59" s="193">
        <f>J60-vb</f>
        <v>36.890367114495206</v>
      </c>
      <c r="K59" s="194"/>
      <c r="L59" s="195"/>
      <c r="M59" s="196"/>
      <c r="N59" s="196"/>
      <c r="O59" s="197"/>
      <c r="P59" s="198"/>
      <c r="Q59" s="199"/>
      <c r="R59" s="200">
        <f>R60-vl</f>
        <v>18.393276443627702</v>
      </c>
      <c r="S59" s="4"/>
      <c r="T59" s="4"/>
    </row>
    <row r="60" spans="1:20" ht="17" thickBot="1">
      <c r="A60" s="4"/>
      <c r="B60" s="4"/>
      <c r="C60" s="4"/>
      <c r="D60" s="4"/>
      <c r="E60" s="4"/>
      <c r="F60" s="4"/>
      <c r="G60" s="4"/>
      <c r="H60" s="4"/>
      <c r="I60" s="140"/>
      <c r="J60" s="201">
        <f>lat</f>
        <v>37.121307222171055</v>
      </c>
      <c r="K60" s="202"/>
      <c r="L60" s="202"/>
      <c r="M60" s="203"/>
      <c r="N60" s="203"/>
      <c r="O60" s="204"/>
      <c r="P60" s="205"/>
      <c r="Q60" s="206"/>
      <c r="R60" s="207">
        <f>lon</f>
        <v>18.226057861995091</v>
      </c>
      <c r="S60" s="4"/>
      <c r="T60" s="4"/>
    </row>
  </sheetData>
  <sheetProtection algorithmName="SHA-512" hashValue="K0rQesUfmGni4rZwAoW4h3DKjMiNVrJTrYGLPAU7SgdHjdqsfcSXklXgX4i2JBQK7vCtxw3xzRyQpHfb1ffOBQ==" saltValue="HP4IwBYp8pPnhRqEZaD68A==" spinCount="100000" sheet="1" objects="1" scenarios="1"/>
  <mergeCells count="5">
    <mergeCell ref="J2:L2"/>
    <mergeCell ref="J7:L7"/>
    <mergeCell ref="J8:L8"/>
    <mergeCell ref="J9:L9"/>
    <mergeCell ref="J10:L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58</vt:i4>
      </vt:variant>
    </vt:vector>
  </HeadingPairs>
  <TitlesOfParts>
    <vt:vector size="60" baseType="lpstr">
      <vt:lpstr>Tabelle1</vt:lpstr>
      <vt:lpstr>Grafik</vt:lpstr>
      <vt:lpstr>_A1</vt:lpstr>
      <vt:lpstr>_A2</vt:lpstr>
      <vt:lpstr>_A3</vt:lpstr>
      <vt:lpstr>_A4</vt:lpstr>
      <vt:lpstr>_B1</vt:lpstr>
      <vt:lpstr>_B2</vt:lpstr>
      <vt:lpstr>_B3</vt:lpstr>
      <vt:lpstr>_B4</vt:lpstr>
      <vt:lpstr>_T1</vt:lpstr>
      <vt:lpstr>_T2</vt:lpstr>
      <vt:lpstr>Az_°</vt:lpstr>
      <vt:lpstr>Az°</vt:lpstr>
      <vt:lpstr>B</vt:lpstr>
      <vt:lpstr>B_</vt:lpstr>
      <vt:lpstr>cmg</vt:lpstr>
      <vt:lpstr>d</vt:lpstr>
      <vt:lpstr>d_</vt:lpstr>
      <vt:lpstr>dat</vt:lpstr>
      <vt:lpstr>dat_</vt:lpstr>
      <vt:lpstr>dmg</vt:lpstr>
      <vt:lpstr>dt</vt:lpstr>
      <vt:lpstr>F</vt:lpstr>
      <vt:lpstr>false</vt:lpstr>
      <vt:lpstr>G</vt:lpstr>
      <vt:lpstr>grt</vt:lpstr>
      <vt:lpstr>grt_</vt:lpstr>
      <vt:lpstr>Gs</vt:lpstr>
      <vt:lpstr>h</vt:lpstr>
      <vt:lpstr>h_</vt:lpstr>
      <vt:lpstr>h_°</vt:lpstr>
      <vt:lpstr>h°</vt:lpstr>
      <vt:lpstr>hs</vt:lpstr>
      <vt:lpstr>j</vt:lpstr>
      <vt:lpstr>js</vt:lpstr>
      <vt:lpstr>K</vt:lpstr>
      <vt:lpstr>lat</vt:lpstr>
      <vt:lpstr>lat°</vt:lpstr>
      <vt:lpstr>LHA</vt:lpstr>
      <vt:lpstr>LHA_</vt:lpstr>
      <vt:lpstr>LHA°</vt:lpstr>
      <vt:lpstr>LHA°_</vt:lpstr>
      <vt:lpstr>lon</vt:lpstr>
      <vt:lpstr>ls</vt:lpstr>
      <vt:lpstr>ot</vt:lpstr>
      <vt:lpstr>ot_</vt:lpstr>
      <vt:lpstr>P</vt:lpstr>
      <vt:lpstr>q</vt:lpstr>
      <vt:lpstr>ref</vt:lpstr>
      <vt:lpstr>tau</vt:lpstr>
      <vt:lpstr>taus</vt:lpstr>
      <vt:lpstr>TG</vt:lpstr>
      <vt:lpstr>V</vt:lpstr>
      <vt:lpstr>var</vt:lpstr>
      <vt:lpstr>vb</vt:lpstr>
      <vt:lpstr>vl</vt:lpstr>
      <vt:lpstr>W</vt:lpstr>
      <vt:lpstr>Ws</vt:lpstr>
      <vt:lpstr>z_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Helmut Hoffrichter</cp:lastModifiedBy>
  <dcterms:created xsi:type="dcterms:W3CDTF">2018-01-04T14:37:05Z</dcterms:created>
  <dcterms:modified xsi:type="dcterms:W3CDTF">2023-05-31T14:43:32Z</dcterms:modified>
</cp:coreProperties>
</file>